
<file path=[Content_Types].xml><?xml version="1.0" encoding="utf-8"?>
<Types xmlns="http://schemas.openxmlformats.org/package/2006/content-types">
  <Default Extension="bin" ContentType="application/vnd.openxmlformats-officedocument.spreadsheetml.customProperty"/>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printerSettings/printerSettings3.bin" ContentType="application/vnd.openxmlformats-officedocument.spreadsheetml.printerSettings"/>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20730" windowHeight="11760" tabRatio="788" activeTab="4"/>
  </bookViews>
  <sheets>
    <sheet name="Jan" sheetId="14" r:id="rId1"/>
    <sheet name="Feb" sheetId="19" r:id="rId2"/>
    <sheet name="Mar" sheetId="20" r:id="rId3"/>
    <sheet name="Apr" sheetId="22" r:id="rId4"/>
    <sheet name="May" sheetId="24" r:id="rId5"/>
    <sheet name="Jun" sheetId="25" r:id="rId6"/>
    <sheet name="Jul" sheetId="26" r:id="rId7"/>
    <sheet name="Aug" sheetId="32" r:id="rId8"/>
    <sheet name="Sep" sheetId="28" r:id="rId9"/>
    <sheet name="Oct" sheetId="29" r:id="rId10"/>
    <sheet name="Nov" sheetId="30" r:id="rId11"/>
    <sheet name="Dec" sheetId="31" r:id="rId12"/>
    <sheet name="Lookup List" sheetId="15" r:id="rId13"/>
  </sheets>
  <definedNames>
    <definedName name="AprSun1">DATEVALUE("4/1/"&amp;CalendarYear)-WEEKDAY(DATEVALUE("4/1/"&amp;CalendarYear))+1</definedName>
    <definedName name="AugSun1">DATEVALUE("8/1/"&amp;CalendarYear)-WEEKDAY(DATEVALUE("8/1/"&amp;CalendarYear))+1</definedName>
    <definedName name="CalendarYear">Jan!$K$1</definedName>
    <definedName name="DecSun1">DATEVALUE("12/1/"&amp;CalendarYear)-WEEKDAY(DATEVALUE("12/1/"&amp;CalendarYear))+1</definedName>
    <definedName name="FebSun1">DATEVALUE("2/1/"&amp;CalendarYear)-WEEKDAY(DATEVALUE("2/1/"&amp;CalendarYear))+1</definedName>
    <definedName name="JanSun1">DATEVALUE("1/1/"&amp;CalendarYear)-WEEKDAY(DATEVALUE("1/1/"&amp;CalendarYear))+1</definedName>
    <definedName name="JulSun1">DATEVALUE("7/1/"&amp;CalendarYear)-WEEKDAY(DATEVALUE("7/1/"&amp;CalendarYear))+1</definedName>
    <definedName name="JunSun1">DATEVALUE("6/1/"&amp;CalendarYear)-WEEKDAY(DATEVALUE("6/1/"&amp;CalendarYear))+1</definedName>
    <definedName name="MarSun1">DATEVALUE("3/1/"&amp;CalendarYear)-WEEKDAY(DATEVALUE("3/1/"&amp;CalendarYear))+1</definedName>
    <definedName name="MaySun1">DATEVALUE("5/1/"&amp;CalendarYear)-WEEKDAY(DATEVALUE("5/1/"&amp;CalendarYear))+1</definedName>
    <definedName name="NovSun1">DATEVALUE("11/1/"&amp;CalendarYear)-WEEKDAY(DATEVALUE("11/1/"&amp;CalendarYear))+1</definedName>
    <definedName name="OctSun1">DATEVALUE("10/1/"&amp;CalendarYear)-WEEKDAY(DATEVALUE("10/1/"&amp;CalendarYear))+1</definedName>
    <definedName name="_xlnm.Print_Area" localSheetId="0">Jan!$A$1:$H$14</definedName>
    <definedName name="SepSun1">DATEVALUE("9/1/"&amp;CalendarYear)-WEEKDAY(DATEVALUE("9/1/"&amp;CalendarYear))+1</definedName>
    <definedName name="Year">YearLookup[]</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C7" i="25" l="1"/>
  <c r="F11" i="22"/>
  <c r="C13" i="32"/>
  <c r="B13" i="32"/>
  <c r="H11" i="32"/>
  <c r="G11" i="32"/>
  <c r="F11" i="32"/>
  <c r="E11" i="32"/>
  <c r="D11" i="32"/>
  <c r="C11" i="32"/>
  <c r="B11" i="32"/>
  <c r="H9" i="32"/>
  <c r="G9" i="32"/>
  <c r="F9" i="32"/>
  <c r="E9" i="32"/>
  <c r="D9" i="32"/>
  <c r="C9" i="32"/>
  <c r="B9" i="32"/>
  <c r="H7" i="32"/>
  <c r="G7" i="32"/>
  <c r="F7" i="32"/>
  <c r="E7" i="32"/>
  <c r="D7" i="32"/>
  <c r="C7" i="32"/>
  <c r="B7" i="32"/>
  <c r="H5" i="32"/>
  <c r="G5" i="32"/>
  <c r="F5" i="32"/>
  <c r="E5" i="32"/>
  <c r="D5" i="32"/>
  <c r="C5" i="32"/>
  <c r="B5" i="32"/>
  <c r="H3" i="32"/>
  <c r="G3" i="32"/>
  <c r="F3" i="32"/>
  <c r="E3" i="32"/>
  <c r="D3" i="32"/>
  <c r="C3" i="32"/>
  <c r="B3" i="32"/>
  <c r="B1" i="32"/>
  <c r="B1" i="28"/>
  <c r="C13" i="31"/>
  <c r="B13" i="31"/>
  <c r="H11" i="31"/>
  <c r="G11" i="31"/>
  <c r="F11" i="31"/>
  <c r="E11" i="31"/>
  <c r="D11" i="31"/>
  <c r="C11" i="31"/>
  <c r="B11" i="31"/>
  <c r="H9" i="31"/>
  <c r="G9" i="31"/>
  <c r="F9" i="31"/>
  <c r="E9" i="31"/>
  <c r="D9" i="31"/>
  <c r="C9" i="31"/>
  <c r="B9" i="31"/>
  <c r="H7" i="31"/>
  <c r="G7" i="31"/>
  <c r="F7" i="31"/>
  <c r="E7" i="31"/>
  <c r="D7" i="31"/>
  <c r="C7" i="31"/>
  <c r="B7" i="31"/>
  <c r="H5" i="31"/>
  <c r="G5" i="31"/>
  <c r="F5" i="31"/>
  <c r="E5" i="31"/>
  <c r="D5" i="31"/>
  <c r="C5" i="31"/>
  <c r="B5" i="31"/>
  <c r="H3" i="31"/>
  <c r="G3" i="31"/>
  <c r="F3" i="31"/>
  <c r="E3" i="31"/>
  <c r="D3" i="31"/>
  <c r="C3" i="31"/>
  <c r="B3" i="31"/>
  <c r="B1" i="31"/>
  <c r="B13" i="30"/>
  <c r="H11" i="30"/>
  <c r="G11" i="30"/>
  <c r="F11" i="30"/>
  <c r="E11" i="30"/>
  <c r="D11" i="30"/>
  <c r="C11" i="30"/>
  <c r="B11" i="30"/>
  <c r="H9" i="30"/>
  <c r="G9" i="30"/>
  <c r="F9" i="30"/>
  <c r="E9" i="30"/>
  <c r="D9" i="30"/>
  <c r="C9" i="30"/>
  <c r="B9" i="30"/>
  <c r="H7" i="30"/>
  <c r="G7" i="30"/>
  <c r="F7" i="30"/>
  <c r="E7" i="30"/>
  <c r="D7" i="30"/>
  <c r="C7" i="30"/>
  <c r="B7" i="30"/>
  <c r="H5" i="30"/>
  <c r="G5" i="30"/>
  <c r="F5" i="30"/>
  <c r="E5" i="30"/>
  <c r="D5" i="30"/>
  <c r="C5" i="30"/>
  <c r="B5" i="30"/>
  <c r="H3" i="30"/>
  <c r="G3" i="30"/>
  <c r="F3" i="30"/>
  <c r="E3" i="30"/>
  <c r="D3" i="30"/>
  <c r="C3" i="30"/>
  <c r="B3" i="30"/>
  <c r="B1" i="30"/>
  <c r="C13" i="29"/>
  <c r="B13" i="29"/>
  <c r="H11" i="29"/>
  <c r="G11" i="29"/>
  <c r="F11" i="29"/>
  <c r="E11" i="29"/>
  <c r="D11" i="29"/>
  <c r="C11" i="29"/>
  <c r="B11" i="29"/>
  <c r="H9" i="29"/>
  <c r="G9" i="29"/>
  <c r="F9" i="29"/>
  <c r="E9" i="29"/>
  <c r="D9" i="29"/>
  <c r="C9" i="29"/>
  <c r="B9" i="29"/>
  <c r="H7" i="29"/>
  <c r="G7" i="29"/>
  <c r="F7" i="29"/>
  <c r="E7" i="29"/>
  <c r="D7" i="29"/>
  <c r="C7" i="29"/>
  <c r="B7" i="29"/>
  <c r="H5" i="29"/>
  <c r="G5" i="29"/>
  <c r="F5" i="29"/>
  <c r="E5" i="29"/>
  <c r="D5" i="29"/>
  <c r="C5" i="29"/>
  <c r="B5" i="29"/>
  <c r="H3" i="29"/>
  <c r="G3" i="29"/>
  <c r="F3" i="29"/>
  <c r="E3" i="29"/>
  <c r="D3" i="29"/>
  <c r="C3" i="29"/>
  <c r="B3" i="29"/>
  <c r="B1" i="29"/>
  <c r="B13" i="28"/>
  <c r="H11" i="28"/>
  <c r="G11" i="28"/>
  <c r="F11" i="28"/>
  <c r="E11" i="28"/>
  <c r="D11" i="28"/>
  <c r="C11" i="28"/>
  <c r="B11" i="28"/>
  <c r="H9" i="28"/>
  <c r="G9" i="28"/>
  <c r="F9" i="28"/>
  <c r="E9" i="28"/>
  <c r="D9" i="28"/>
  <c r="C9" i="28"/>
  <c r="B9" i="28"/>
  <c r="H7" i="28"/>
  <c r="G7" i="28"/>
  <c r="F7" i="28"/>
  <c r="E7" i="28"/>
  <c r="D7" i="28"/>
  <c r="C7" i="28"/>
  <c r="B7" i="28"/>
  <c r="H5" i="28"/>
  <c r="G5" i="28"/>
  <c r="F5" i="28"/>
  <c r="E5" i="28"/>
  <c r="D5" i="28"/>
  <c r="C5" i="28"/>
  <c r="B5" i="28"/>
  <c r="H3" i="28"/>
  <c r="G3" i="28"/>
  <c r="F3" i="28"/>
  <c r="E3" i="28"/>
  <c r="D3" i="28"/>
  <c r="C3" i="28"/>
  <c r="B3" i="28"/>
  <c r="C13" i="26"/>
  <c r="B13" i="26"/>
  <c r="H11" i="26"/>
  <c r="G11" i="26"/>
  <c r="F11" i="26"/>
  <c r="E11" i="26"/>
  <c r="D11" i="26"/>
  <c r="C11" i="26"/>
  <c r="B11" i="26"/>
  <c r="H9" i="26"/>
  <c r="G9" i="26"/>
  <c r="F9" i="26"/>
  <c r="E9" i="26"/>
  <c r="D9" i="26"/>
  <c r="C9" i="26"/>
  <c r="B9" i="26"/>
  <c r="H7" i="26"/>
  <c r="G7" i="26"/>
  <c r="F7" i="26"/>
  <c r="E7" i="26"/>
  <c r="D7" i="26"/>
  <c r="C7" i="26"/>
  <c r="B7" i="26"/>
  <c r="H5" i="26"/>
  <c r="G5" i="26"/>
  <c r="F5" i="26"/>
  <c r="E5" i="26"/>
  <c r="D5" i="26"/>
  <c r="C5" i="26"/>
  <c r="B5" i="26"/>
  <c r="H3" i="26"/>
  <c r="G3" i="26"/>
  <c r="F3" i="26"/>
  <c r="E3" i="26"/>
  <c r="D3" i="26"/>
  <c r="C3" i="26"/>
  <c r="B3" i="26"/>
  <c r="B1" i="26"/>
  <c r="H11" i="25"/>
  <c r="G11" i="25"/>
  <c r="F11" i="25"/>
  <c r="E11" i="25"/>
  <c r="D11" i="25"/>
  <c r="C11" i="25"/>
  <c r="B11" i="25"/>
  <c r="H9" i="25"/>
  <c r="G9" i="25"/>
  <c r="F9" i="25"/>
  <c r="E9" i="25"/>
  <c r="D9" i="25"/>
  <c r="C9" i="25"/>
  <c r="B9" i="25"/>
  <c r="H7" i="25"/>
  <c r="G7" i="25"/>
  <c r="F7" i="25"/>
  <c r="E7" i="25"/>
  <c r="D7" i="25"/>
  <c r="B7" i="25"/>
  <c r="H5" i="25"/>
  <c r="G5" i="25"/>
  <c r="F5" i="25"/>
  <c r="E5" i="25"/>
  <c r="D5" i="25"/>
  <c r="C5" i="25"/>
  <c r="B5" i="25"/>
  <c r="H3" i="25"/>
  <c r="G3" i="25"/>
  <c r="F3" i="25"/>
  <c r="E3" i="25"/>
  <c r="D3" i="25"/>
  <c r="C3" i="25"/>
  <c r="B3" i="25"/>
  <c r="B1" i="25"/>
  <c r="B13" i="24"/>
  <c r="H11" i="24"/>
  <c r="G11" i="24"/>
  <c r="F11" i="24"/>
  <c r="E11" i="24"/>
  <c r="D11" i="24"/>
  <c r="C11" i="24"/>
  <c r="B11" i="24"/>
  <c r="H9" i="24"/>
  <c r="G9" i="24"/>
  <c r="F9" i="24"/>
  <c r="E9" i="24"/>
  <c r="D9" i="24"/>
  <c r="C9" i="24"/>
  <c r="B9" i="24"/>
  <c r="H7" i="24"/>
  <c r="G7" i="24"/>
  <c r="F7" i="24"/>
  <c r="E7" i="24"/>
  <c r="D7" i="24"/>
  <c r="C7" i="24"/>
  <c r="B7" i="24"/>
  <c r="H5" i="24"/>
  <c r="G5" i="24"/>
  <c r="F5" i="24"/>
  <c r="E5" i="24"/>
  <c r="D5" i="24"/>
  <c r="C5" i="24"/>
  <c r="B5" i="24"/>
  <c r="H3" i="24"/>
  <c r="G3" i="24"/>
  <c r="F3" i="24"/>
  <c r="E3" i="24"/>
  <c r="D3" i="24"/>
  <c r="C3" i="24"/>
  <c r="B3" i="24"/>
  <c r="B1" i="24"/>
  <c r="B13" i="22"/>
  <c r="H11" i="22"/>
  <c r="G11" i="22"/>
  <c r="E11" i="22"/>
  <c r="C11" i="22"/>
  <c r="B11" i="22"/>
  <c r="H9" i="22"/>
  <c r="G9" i="22"/>
  <c r="E9" i="22"/>
  <c r="D9" i="22"/>
  <c r="C9" i="22"/>
  <c r="B9" i="22"/>
  <c r="H7" i="22"/>
  <c r="G7" i="22"/>
  <c r="F7" i="22"/>
  <c r="E7" i="22"/>
  <c r="D7" i="22"/>
  <c r="C7" i="22"/>
  <c r="B7" i="22"/>
  <c r="H5" i="22"/>
  <c r="G5" i="22"/>
  <c r="F5" i="22"/>
  <c r="E5" i="22"/>
  <c r="D5" i="22"/>
  <c r="C5" i="22"/>
  <c r="B5" i="22"/>
  <c r="H3" i="22"/>
  <c r="G3" i="22"/>
  <c r="F3" i="22"/>
  <c r="E3" i="22"/>
  <c r="D3" i="22"/>
  <c r="C3" i="22"/>
  <c r="B3" i="22"/>
  <c r="B1" i="22"/>
  <c r="H11" i="19"/>
  <c r="G11" i="19"/>
  <c r="F11" i="19"/>
  <c r="E11" i="19"/>
  <c r="D11" i="19"/>
  <c r="C11" i="19"/>
  <c r="B11" i="19"/>
  <c r="H9" i="19"/>
  <c r="G9" i="19"/>
  <c r="F9" i="19"/>
  <c r="E9" i="19"/>
  <c r="D9" i="19"/>
  <c r="C9" i="19"/>
  <c r="B9" i="19"/>
  <c r="H7" i="19"/>
  <c r="G7" i="19"/>
  <c r="F7" i="19"/>
  <c r="E7" i="19"/>
  <c r="D7" i="19"/>
  <c r="C7" i="19"/>
  <c r="B7" i="19"/>
  <c r="H5" i="19"/>
  <c r="G5" i="19"/>
  <c r="F5" i="19"/>
  <c r="E5" i="19"/>
  <c r="D5" i="19"/>
  <c r="C5" i="19"/>
  <c r="B5" i="19"/>
  <c r="H3" i="19"/>
  <c r="G3" i="19"/>
  <c r="F3" i="19"/>
  <c r="E3" i="19"/>
  <c r="D3" i="19"/>
  <c r="C3" i="19"/>
  <c r="B3" i="19"/>
  <c r="C13" i="20"/>
  <c r="B13" i="20"/>
  <c r="H11" i="20"/>
  <c r="G11" i="20"/>
  <c r="F11" i="20"/>
  <c r="E11" i="20"/>
  <c r="D11" i="20"/>
  <c r="C11" i="20"/>
  <c r="B11" i="20"/>
  <c r="H9" i="20"/>
  <c r="G9" i="20"/>
  <c r="F9" i="20"/>
  <c r="E9" i="20"/>
  <c r="D9" i="20"/>
  <c r="C9" i="20"/>
  <c r="B9" i="20"/>
  <c r="H7" i="20"/>
  <c r="G7" i="20"/>
  <c r="F7" i="20"/>
  <c r="E7" i="20"/>
  <c r="D7" i="20"/>
  <c r="C7" i="20"/>
  <c r="B7" i="20"/>
  <c r="H5" i="20"/>
  <c r="G5" i="20"/>
  <c r="F5" i="20"/>
  <c r="E5" i="20"/>
  <c r="D5" i="20"/>
  <c r="C5" i="20"/>
  <c r="B5" i="20"/>
  <c r="H3" i="20"/>
  <c r="G3" i="20"/>
  <c r="F3" i="20"/>
  <c r="E3" i="20"/>
  <c r="D3" i="20"/>
  <c r="C3" i="20"/>
  <c r="B3" i="20"/>
  <c r="B1" i="20"/>
  <c r="B1" i="19"/>
  <c r="C13" i="14"/>
  <c r="B13" i="14"/>
  <c r="H11" i="14"/>
  <c r="G11" i="14"/>
  <c r="F11" i="14"/>
  <c r="E11" i="14"/>
  <c r="D11" i="14"/>
  <c r="C11" i="14"/>
  <c r="B11" i="14"/>
  <c r="H9" i="14"/>
  <c r="G9" i="14"/>
  <c r="F9" i="14"/>
  <c r="E9" i="14"/>
  <c r="D9" i="14"/>
  <c r="B9" i="14"/>
  <c r="C9" i="14"/>
  <c r="H7" i="14"/>
  <c r="G7" i="14"/>
  <c r="F7" i="14"/>
  <c r="E7" i="14"/>
  <c r="D7" i="14"/>
  <c r="C7" i="14"/>
  <c r="B7" i="14"/>
  <c r="H5" i="14"/>
  <c r="G5" i="14"/>
  <c r="F5" i="14"/>
  <c r="E5" i="14"/>
  <c r="D5" i="14"/>
  <c r="C5" i="14"/>
  <c r="B5" i="14"/>
  <c r="F3" i="14"/>
  <c r="B3" i="14"/>
  <c r="H3" i="14"/>
  <c r="G3" i="14"/>
  <c r="E3" i="14"/>
  <c r="D3" i="14"/>
  <c r="C3" i="14"/>
  <c r="B1" i="14"/>
</calcChain>
</file>

<file path=xl/comments1.xml><?xml version="1.0" encoding="utf-8"?>
<comments xmlns="http://schemas.openxmlformats.org/spreadsheetml/2006/main">
  <authors>
    <author xml:space="preserve">   </author>
  </authors>
  <commentList>
    <comment ref="J4" authorId="0">
      <text>
        <r>
          <rPr>
            <b/>
            <sz val="9"/>
            <color indexed="81"/>
            <rFont val="Geneva"/>
          </rPr>
          <t>When you click in the cell that displays the year above, you see a pop-up list of years from which to select. When you make a selection, the calendar sheets for all months in this workbook automatically update.
To change the available years in that list, see the Lookup List sheet.
Note: Formulas exist in all cells that display dates as well as those that appear blank within the calendar cells of rows that contain date values, in order for the calendar to update automatically.  If you manually change the text in those cells, the calendar will no longer be able to update automatically.
You can, however, type text in the taller cells beneath each date cell, such as where you see 'Sample text' written in the first available taller cell in this calendar.</t>
        </r>
      </text>
    </comment>
    <comment ref="J11" authorId="0">
      <text>
        <r>
          <rPr>
            <b/>
            <sz val="9"/>
            <color indexed="81"/>
            <rFont val="Geneva"/>
          </rPr>
          <t>Easily apply your own look to this calendar. This template is formatted using themes that enable you to apply fonts, colors, and graphic formatting effects throughout the workbook with just a click.
Find themes on the Home tab, in the Themes group. Select from dozens of built-in themes available in the Themes gallery or find options to change just the theme fonts or theme colors.</t>
        </r>
      </text>
    </comment>
  </commentList>
</comments>
</file>

<file path=xl/comments2.xml><?xml version="1.0" encoding="utf-8"?>
<comments xmlns="http://schemas.openxmlformats.org/spreadsheetml/2006/main">
  <authors>
    <author xml:space="preserve">   </author>
  </authors>
  <commentList>
    <comment ref="C4" authorId="0">
      <text>
        <r>
          <rPr>
            <b/>
            <sz val="9"/>
            <color indexed="81"/>
            <rFont val="Geneva"/>
          </rPr>
          <t>This list populates the options that appear in the pop-up list for the year on the January sheet. To add additional years, begin typing in the cell directly beneath the last existing entry and the list will automatically expand.</t>
        </r>
      </text>
    </comment>
  </commentList>
</comments>
</file>

<file path=xl/sharedStrings.xml><?xml version="1.0" encoding="utf-8"?>
<sst xmlns="http://schemas.openxmlformats.org/spreadsheetml/2006/main" count="121" uniqueCount="33">
  <si>
    <t>Sunday</t>
  </si>
  <si>
    <t>Monday</t>
  </si>
  <si>
    <t>Tuesday</t>
  </si>
  <si>
    <t>Wednesday</t>
  </si>
  <si>
    <t>Thursday</t>
  </si>
  <si>
    <t>Friday</t>
  </si>
  <si>
    <t>Saturday</t>
  </si>
  <si>
    <t>Year</t>
  </si>
  <si>
    <t>Notes:</t>
  </si>
  <si>
    <t>Notes</t>
  </si>
  <si>
    <t>Select
Year:</t>
  </si>
  <si>
    <t>Sample text.</t>
  </si>
  <si>
    <t>Midway Progress Report Due</t>
  </si>
  <si>
    <t>Final Progress Report Due</t>
  </si>
  <si>
    <t>Finishing touches!</t>
  </si>
  <si>
    <t xml:space="preserve">Remember, come up with a creative topic - one that includes new learning for you!  Also, make sure that your method is one that you actually can accomplish.  For example, if you were teaching us about mountain lions, could you build a LIFE SIZE replica?  Probably  not. </t>
  </si>
  <si>
    <t>Project Introduced to Students</t>
  </si>
  <si>
    <t>Project Assigned
Brainstorm ideas!</t>
  </si>
  <si>
    <t xml:space="preserve">Signed Parent Letter Due
</t>
  </si>
  <si>
    <r>
      <t xml:space="preserve">Idea Proposal Form Due </t>
    </r>
    <r>
      <rPr>
        <sz val="8"/>
        <color theme="1" tint="0.249977111117893"/>
        <rFont val="Century Gothic"/>
        <family val="2"/>
        <scheme val="minor"/>
      </rPr>
      <t>(and Request to Work as Partners  if applicable)</t>
    </r>
  </si>
  <si>
    <t>Idea Proposal Form will be returned.
Begin working (if approved)
Revise form (if necessary)</t>
  </si>
  <si>
    <t xml:space="preserve">
Resubmit Idea Proposal Form </t>
  </si>
  <si>
    <r>
      <t xml:space="preserve">
</t>
    </r>
    <r>
      <rPr>
        <sz val="8"/>
        <color theme="1" tint="0.249977111117893"/>
        <rFont val="Arial Narrow"/>
        <family val="2"/>
      </rPr>
      <t>Begin working (if approved)</t>
    </r>
  </si>
  <si>
    <t xml:space="preserve">Continue working!
</t>
  </si>
  <si>
    <t>In-Class Presentations</t>
  </si>
  <si>
    <t>In-Class Presentations (if necessary)</t>
  </si>
  <si>
    <t>LAST DAY OF SCHOOL! :)  HAPPY SUMMER!</t>
  </si>
  <si>
    <t>Your TUSS Project is due!  Be ready to share.  (Program Page and List of Sources are also due today.)</t>
  </si>
  <si>
    <t>Optional Parent Information Session
(7:45-8:30am)</t>
  </si>
  <si>
    <t>Continue working!</t>
  </si>
  <si>
    <t xml:space="preserve">Gr. 4 Open House and TUSS Colloquium
</t>
  </si>
  <si>
    <t>Sycamore Day!</t>
  </si>
  <si>
    <t>It's the home stretch!  By mid May, your project should be nearing completion, and you should have some pieces of your final project ready.  This is also the time when PROBLEMS start to come up.  Remember, a responsible student comes to me with problems early on, when they happen.  Don't wait until the last minute to tell me about a problem you're having!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</si>
</sst>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d"/>
  </numFmts>
  <fonts count="24">
    <font>
      <sz val="11"/>
      <name val="Century Gothic"/>
      <family val="2"/>
      <scheme val="minor"/>
    </font>
    <font>
      <sz val="8"/>
      <name val="Arial"/>
      <family val="2"/>
    </font>
    <font>
      <b/>
      <sz val="11"/>
      <color theme="0"/>
      <name val="Century Gothic"/>
      <family val="2"/>
      <scheme val="minor"/>
    </font>
    <font>
      <sz val="11"/>
      <color theme="0"/>
      <name val="Century Gothic"/>
      <family val="2"/>
      <scheme val="minor"/>
    </font>
    <font>
      <sz val="11"/>
      <name val="Arial"/>
      <family val="2"/>
    </font>
    <font>
      <sz val="11"/>
      <name val="Century Gothic"/>
      <family val="2"/>
    </font>
    <font>
      <sz val="11"/>
      <name val="Century Gothic"/>
      <family val="2"/>
      <scheme val="minor"/>
    </font>
    <font>
      <sz val="11"/>
      <color theme="1" tint="0.249977111117893"/>
      <name val="Arial"/>
      <family val="2"/>
    </font>
    <font>
      <sz val="11"/>
      <color theme="1" tint="0.249977111117893"/>
      <name val="Century Gothic"/>
      <family val="2"/>
      <scheme val="minor"/>
    </font>
    <font>
      <b/>
      <sz val="28"/>
      <color theme="1" tint="0.34998626667073579"/>
      <name val="Century Gothic"/>
      <family val="2"/>
      <scheme val="minor"/>
    </font>
    <font>
      <b/>
      <sz val="14"/>
      <color theme="0"/>
      <name val="Century Gothic"/>
      <family val="2"/>
      <scheme val="minor"/>
    </font>
    <font>
      <sz val="14"/>
      <color theme="1" tint="0.34998626667073579"/>
      <name val="Century Gothic"/>
      <family val="2"/>
      <scheme val="minor"/>
    </font>
    <font>
      <sz val="10"/>
      <color theme="1" tint="0.249977111117893"/>
      <name val="Century Gothic"/>
      <family val="2"/>
      <scheme val="minor"/>
    </font>
    <font>
      <sz val="14"/>
      <color theme="1" tint="0.249977111117893"/>
      <name val="Century Gothic"/>
      <family val="2"/>
      <scheme val="minor"/>
    </font>
    <font>
      <b/>
      <sz val="9"/>
      <color indexed="81"/>
      <name val="Geneva"/>
    </font>
    <font>
      <sz val="9"/>
      <color theme="1" tint="0.249977111117893"/>
      <name val="Century Gothic"/>
      <scheme val="minor"/>
    </font>
    <font>
      <sz val="8"/>
      <color theme="1" tint="0.249977111117893"/>
      <name val="Century Gothic"/>
      <scheme val="minor"/>
    </font>
    <font>
      <u/>
      <sz val="11"/>
      <color theme="10"/>
      <name val="Century Gothic"/>
      <family val="2"/>
      <scheme val="minor"/>
    </font>
    <font>
      <u/>
      <sz val="11"/>
      <color theme="11"/>
      <name val="Century Gothic"/>
      <family val="2"/>
      <scheme val="minor"/>
    </font>
    <font>
      <sz val="10"/>
      <name val="Century Gothic"/>
      <scheme val="major"/>
    </font>
    <font>
      <sz val="8"/>
      <color theme="1" tint="0.249977111117893"/>
      <name val="Century Gothic"/>
      <family val="2"/>
      <scheme val="minor"/>
    </font>
    <font>
      <sz val="8"/>
      <color theme="1" tint="0.249977111117893"/>
      <name val="Arial Narrow"/>
      <family val="2"/>
    </font>
    <font>
      <sz val="9"/>
      <color theme="1" tint="0.249977111117893"/>
      <name val="Century Gothic"/>
      <family val="2"/>
      <scheme val="minor"/>
    </font>
    <font>
      <sz val="10"/>
      <color theme="0"/>
      <name val="Century Gothic"/>
      <family val="2"/>
      <scheme val="minor"/>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4"/>
      </patternFill>
    </fill>
    <fill>
      <patternFill patternType="solid">
        <fgColor theme="4" tint="0.59999389629810485"/>
        <bgColor indexed="65"/>
      </patternFill>
    </fill>
    <fill>
      <patternFill patternType="solid">
        <fgColor theme="8"/>
      </patternFill>
    </fill>
  </fills>
  <borders count="2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4" tint="-0.24994659260841701"/>
      </left>
      <right style="thin">
        <color theme="4" tint="0.39994506668294322"/>
      </right>
      <top style="thin">
        <color theme="4" tint="0.39994506668294322"/>
      </top>
      <bottom style="thin">
        <color theme="4" tint="0.39994506668294322"/>
      </bottom>
      <diagonal/>
    </border>
    <border>
      <left style="thin">
        <color theme="4" tint="0.39994506668294322"/>
      </left>
      <right style="medium">
        <color theme="4" tint="-0.24994659260841701"/>
      </right>
      <top style="thin">
        <color theme="4" tint="0.39994506668294322"/>
      </top>
      <bottom style="thin">
        <color theme="4" tint="0.39994506668294322"/>
      </bottom>
      <diagonal/>
    </border>
    <border>
      <left style="thin">
        <color theme="4" tint="0.39994506668294322"/>
      </left>
      <right style="medium">
        <color theme="4" tint="-0.24994659260841701"/>
      </right>
      <top/>
      <bottom style="thin">
        <color theme="4" tint="0.39994506668294322"/>
      </bottom>
      <diagonal/>
    </border>
    <border>
      <left style="medium">
        <color theme="4" tint="-0.24994659260841701"/>
      </left>
      <right style="thin">
        <color theme="4" tint="0.39994506668294322"/>
      </right>
      <top style="thin">
        <color theme="4" tint="0.39994506668294322"/>
      </top>
      <bottom style="medium">
        <color theme="4" tint="-0.24994659260841701"/>
      </bottom>
      <diagonal/>
    </border>
    <border>
      <left style="thin">
        <color theme="4" tint="0.39994506668294322"/>
      </left>
      <right style="thin">
        <color theme="4" tint="0.39994506668294322"/>
      </right>
      <top style="thin">
        <color theme="4" tint="0.39994506668294322"/>
      </top>
      <bottom style="medium">
        <color theme="4" tint="-0.24994659260841701"/>
      </bottom>
      <diagonal/>
    </border>
    <border>
      <left style="medium">
        <color theme="4" tint="-0.24994659260841701"/>
      </left>
      <right style="thin">
        <color theme="4" tint="0.39994506668294322"/>
      </right>
      <top style="medium">
        <color theme="4" tint="-0.24994659260841701"/>
      </top>
      <bottom/>
      <diagonal/>
    </border>
    <border>
      <left style="thin">
        <color theme="4" tint="0.39994506668294322"/>
      </left>
      <right style="thin">
        <color theme="4" tint="0.39994506668294322"/>
      </right>
      <top style="medium">
        <color theme="4" tint="-0.24994659260841701"/>
      </top>
      <bottom/>
      <diagonal/>
    </border>
    <border>
      <left style="thin">
        <color theme="4" tint="0.39994506668294322"/>
      </left>
      <right style="medium">
        <color theme="4" tint="-0.24994659260841701"/>
      </right>
      <top style="medium">
        <color theme="4" tint="-0.24994659260841701"/>
      </top>
      <bottom/>
      <diagonal/>
    </border>
    <border>
      <left style="medium">
        <color theme="4" tint="-0.24994659260841701"/>
      </left>
      <right style="thin">
        <color theme="4" tint="0.39994506668294322"/>
      </right>
      <top style="medium">
        <color theme="4" tint="-0.24994659260841701"/>
      </top>
      <bottom style="thin">
        <color theme="4" tint="0.39994506668294322"/>
      </bottom>
      <diagonal/>
    </border>
    <border>
      <left style="thin">
        <color theme="4" tint="0.39994506668294322"/>
      </left>
      <right style="thin">
        <color theme="4" tint="0.39994506668294322"/>
      </right>
      <top style="medium">
        <color theme="4" tint="-0.24994659260841701"/>
      </top>
      <bottom style="thin">
        <color theme="4" tint="0.39994506668294322"/>
      </bottom>
      <diagonal/>
    </border>
    <border>
      <left style="thin">
        <color theme="4" tint="0.39994506668294322"/>
      </left>
      <right style="medium">
        <color theme="4" tint="-0.24994659260841701"/>
      </right>
      <top style="medium">
        <color theme="4" tint="-0.24994659260841701"/>
      </top>
      <bottom style="thin">
        <color theme="4" tint="0.39994506668294322"/>
      </bottom>
      <diagonal/>
    </border>
    <border>
      <left style="medium">
        <color theme="4" tint="-0.24994659260841701"/>
      </left>
      <right style="thin">
        <color theme="4" tint="0.39994506668294322"/>
      </right>
      <top/>
      <bottom style="thin">
        <color theme="4" tint="0.39994506668294322"/>
      </bottom>
      <diagonal/>
    </border>
    <border>
      <left style="thin">
        <color theme="4" tint="0.39994506668294322"/>
      </left>
      <right/>
      <top style="thin">
        <color theme="4" tint="0.39994506668294322"/>
      </top>
      <bottom style="medium">
        <color theme="4" tint="-0.24994659260841701"/>
      </bottom>
      <diagonal/>
    </border>
    <border>
      <left/>
      <right/>
      <top style="thin">
        <color theme="4" tint="0.39994506668294322"/>
      </top>
      <bottom style="medium">
        <color theme="4" tint="-0.24994659260841701"/>
      </bottom>
      <diagonal/>
    </border>
    <border>
      <left/>
      <right style="medium">
        <color theme="4" tint="-0.24994659260841701"/>
      </right>
      <top style="thin">
        <color theme="4" tint="0.39994506668294322"/>
      </top>
      <bottom style="medium">
        <color theme="4" tint="-0.24994659260841701"/>
      </bottom>
      <diagonal/>
    </border>
    <border>
      <left style="medium">
        <color theme="4" tint="-0.24994659260841701"/>
      </left>
      <right/>
      <top style="thin">
        <color theme="4" tint="0.39994506668294322"/>
      </top>
      <bottom style="medium">
        <color theme="4" tint="-0.24994659260841701"/>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medium">
        <color theme="4" tint="-0.24994659260841701"/>
      </right>
      <top style="thin">
        <color theme="4" tint="0.39994506668294322"/>
      </top>
      <bottom style="thin">
        <color theme="4" tint="0.39994506668294322"/>
      </bottom>
      <diagonal/>
    </border>
  </borders>
  <cellStyleXfs count="55">
    <xf numFmtId="0" fontId="0" fillId="0" borderId="0"/>
    <xf numFmtId="0" fontId="9" fillId="0" borderId="0" applyNumberFormat="0" applyFill="0" applyAlignment="0" applyProtection="0"/>
    <xf numFmtId="0" fontId="2" fillId="4" borderId="1" applyNumberFormat="0" applyAlignment="0" applyProtection="0"/>
    <xf numFmtId="0" fontId="11" fillId="5" borderId="0" applyNumberFormat="0" applyBorder="0" applyAlignment="0" applyProtection="0"/>
    <xf numFmtId="0" fontId="10" fillId="6" borderId="3" applyNumberFormat="0" applyProtection="0">
      <alignment vertical="center"/>
    </xf>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60">
    <xf numFmtId="0" fontId="0" fillId="0" borderId="0" xfId="0"/>
    <xf numFmtId="0" fontId="4" fillId="2" borderId="0" xfId="0" applyFont="1" applyFill="1"/>
    <xf numFmtId="0" fontId="5" fillId="2" borderId="0" xfId="0" applyFont="1" applyFill="1"/>
    <xf numFmtId="0" fontId="5" fillId="0" borderId="0" xfId="0" applyFont="1"/>
    <xf numFmtId="0" fontId="4" fillId="0" borderId="0" xfId="0" applyFont="1"/>
    <xf numFmtId="165" fontId="8" fillId="0" borderId="1" xfId="0" applyNumberFormat="1" applyFont="1" applyFill="1" applyBorder="1" applyAlignment="1">
      <alignment horizontal="left" vertical="center" wrapText="1" indent="1"/>
    </xf>
    <xf numFmtId="165" fontId="8" fillId="2" borderId="1" xfId="0" applyNumberFormat="1" applyFont="1" applyFill="1" applyBorder="1" applyAlignment="1">
      <alignment horizontal="left" vertical="center" wrapText="1" indent="1"/>
    </xf>
    <xf numFmtId="0" fontId="11" fillId="5" borderId="4" xfId="3" applyBorder="1" applyAlignment="1">
      <alignment horizontal="right" vertical="center" wrapText="1"/>
    </xf>
    <xf numFmtId="0" fontId="11" fillId="5" borderId="5" xfId="3" applyBorder="1" applyAlignment="1">
      <alignment vertical="center"/>
    </xf>
    <xf numFmtId="165" fontId="7" fillId="0" borderId="6" xfId="0" applyNumberFormat="1" applyFont="1" applyBorder="1" applyAlignment="1">
      <alignment horizontal="left" vertical="center" indent="1"/>
    </xf>
    <xf numFmtId="165" fontId="8" fillId="0" borderId="7" xfId="0" applyNumberFormat="1" applyFont="1" applyFill="1" applyBorder="1" applyAlignment="1">
      <alignment horizontal="left" vertical="center" wrapText="1" indent="1"/>
    </xf>
    <xf numFmtId="165" fontId="8" fillId="0" borderId="6" xfId="0" applyNumberFormat="1" applyFont="1" applyFill="1" applyBorder="1" applyAlignment="1">
      <alignment horizontal="left" vertical="center" wrapText="1" indent="1"/>
    </xf>
    <xf numFmtId="165" fontId="8" fillId="2" borderId="6" xfId="0" applyNumberFormat="1" applyFont="1" applyFill="1" applyBorder="1" applyAlignment="1">
      <alignment horizontal="left" vertical="center" wrapText="1" indent="1"/>
    </xf>
    <xf numFmtId="165" fontId="8" fillId="2" borderId="7" xfId="0" applyNumberFormat="1"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2" fillId="4" borderId="11" xfId="2" applyBorder="1" applyAlignment="1">
      <alignment horizontal="center" vertical="center"/>
    </xf>
    <xf numFmtId="0" fontId="2" fillId="4" borderId="12" xfId="2" applyBorder="1" applyAlignment="1">
      <alignment horizontal="center" vertical="center"/>
    </xf>
    <xf numFmtId="0" fontId="2" fillId="4" borderId="13" xfId="2" applyBorder="1" applyAlignment="1">
      <alignment horizontal="center" vertical="center"/>
    </xf>
    <xf numFmtId="0" fontId="2" fillId="4" borderId="14" xfId="2" applyBorder="1" applyAlignment="1">
      <alignment horizontal="center" vertical="center"/>
    </xf>
    <xf numFmtId="0" fontId="2" fillId="4" borderId="15" xfId="2" applyBorder="1" applyAlignment="1">
      <alignment horizontal="center" vertical="center"/>
    </xf>
    <xf numFmtId="0" fontId="2" fillId="4" borderId="16" xfId="2" applyBorder="1" applyAlignment="1">
      <alignment horizontal="center" vertical="center"/>
    </xf>
    <xf numFmtId="0" fontId="4" fillId="0" borderId="0" xfId="0" applyFont="1"/>
    <xf numFmtId="0" fontId="6" fillId="0" borderId="0" xfId="0" applyFont="1"/>
    <xf numFmtId="0" fontId="6" fillId="0" borderId="0" xfId="0" applyFont="1" applyFill="1"/>
    <xf numFmtId="165" fontId="8" fillId="2" borderId="2" xfId="0" applyNumberFormat="1" applyFont="1" applyFill="1" applyBorder="1" applyAlignment="1">
      <alignment horizontal="left" vertical="center" wrapText="1" indent="1"/>
    </xf>
    <xf numFmtId="0" fontId="12" fillId="0" borderId="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12" fillId="0" borderId="10" xfId="0" applyFont="1" applyFill="1" applyBorder="1" applyAlignment="1">
      <alignment horizontal="left" vertical="center" wrapText="1" indent="1"/>
    </xf>
    <xf numFmtId="165" fontId="8" fillId="2" borderId="17" xfId="0" applyNumberFormat="1" applyFont="1" applyFill="1" applyBorder="1" applyAlignment="1">
      <alignment horizontal="left" vertical="center" wrapText="1" indent="1"/>
    </xf>
    <xf numFmtId="0" fontId="12" fillId="5" borderId="6" xfId="3" applyFont="1" applyBorder="1" applyAlignment="1">
      <alignment horizontal="left" vertical="center" wrapText="1" indent="1"/>
    </xf>
    <xf numFmtId="0" fontId="12" fillId="5" borderId="7" xfId="3" applyFont="1" applyBorder="1" applyAlignment="1">
      <alignment horizontal="left" vertical="center" wrapText="1" indent="1"/>
    </xf>
    <xf numFmtId="0" fontId="12" fillId="5" borderId="9" xfId="3" applyFont="1" applyBorder="1" applyAlignment="1">
      <alignment horizontal="left" vertical="center" wrapText="1" indent="1"/>
    </xf>
    <xf numFmtId="0" fontId="13" fillId="5" borderId="9" xfId="3" applyFont="1" applyBorder="1" applyAlignment="1">
      <alignment horizontal="left" vertical="center" wrapText="1" indent="1"/>
    </xf>
    <xf numFmtId="0" fontId="12" fillId="3" borderId="6"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6" fillId="2" borderId="1" xfId="0" applyFont="1" applyFill="1" applyBorder="1" applyAlignment="1">
      <alignment horizontal="left" vertical="center" wrapText="1" indent="1"/>
    </xf>
    <xf numFmtId="0" fontId="16" fillId="0" borderId="1" xfId="0" applyFont="1" applyFill="1" applyBorder="1" applyAlignment="1">
      <alignment horizontal="left" vertical="center" wrapText="1" indent="1"/>
    </xf>
    <xf numFmtId="0" fontId="19" fillId="0" borderId="0" xfId="0" applyFont="1" applyAlignment="1">
      <alignment vertical="center" wrapText="1"/>
    </xf>
    <xf numFmtId="165" fontId="2" fillId="4" borderId="23" xfId="2" applyNumberFormat="1" applyBorder="1" applyAlignment="1">
      <alignment vertical="center" wrapText="1"/>
    </xf>
    <xf numFmtId="165" fontId="2" fillId="4" borderId="24" xfId="2" applyNumberFormat="1" applyBorder="1" applyAlignment="1">
      <alignment vertical="center" wrapText="1"/>
    </xf>
    <xf numFmtId="0" fontId="21" fillId="0" borderId="1" xfId="0" applyFont="1" applyFill="1" applyBorder="1" applyAlignment="1">
      <alignment horizontal="left" vertical="center" wrapText="1" indent="1"/>
    </xf>
    <xf numFmtId="0" fontId="21" fillId="2" borderId="1" xfId="0" applyFont="1" applyFill="1" applyBorder="1" applyAlignment="1">
      <alignment horizontal="left" vertical="center" wrapText="1" indent="1"/>
    </xf>
    <xf numFmtId="164" fontId="9" fillId="2" borderId="0" xfId="1" applyNumberFormat="1" applyFill="1" applyAlignment="1">
      <alignment horizontal="center" vertical="center"/>
    </xf>
    <xf numFmtId="0" fontId="3" fillId="4" borderId="18" xfId="2" applyFont="1" applyBorder="1" applyAlignment="1">
      <alignment horizontal="left" vertical="center" wrapText="1"/>
    </xf>
    <xf numFmtId="0" fontId="3" fillId="4" borderId="19" xfId="2" applyFont="1" applyBorder="1" applyAlignment="1">
      <alignment horizontal="left" vertical="center" wrapText="1"/>
    </xf>
    <xf numFmtId="0" fontId="3" fillId="4" borderId="20" xfId="2" applyFont="1" applyBorder="1" applyAlignment="1">
      <alignment horizontal="left" vertical="center" wrapText="1"/>
    </xf>
    <xf numFmtId="165" fontId="2" fillId="4" borderId="2" xfId="2" applyNumberFormat="1" applyBorder="1" applyAlignment="1">
      <alignment horizontal="left" vertical="center" wrapText="1"/>
    </xf>
    <xf numFmtId="165" fontId="2" fillId="4" borderId="8" xfId="2" applyNumberFormat="1" applyBorder="1" applyAlignment="1">
      <alignment horizontal="left" vertical="center" wrapText="1"/>
    </xf>
    <xf numFmtId="0" fontId="3" fillId="4" borderId="21" xfId="2" applyFont="1" applyBorder="1" applyAlignment="1">
      <alignment horizontal="left" vertical="center" wrapText="1"/>
    </xf>
    <xf numFmtId="165" fontId="2" fillId="4" borderId="6" xfId="2" applyNumberFormat="1" applyFont="1" applyBorder="1" applyAlignment="1">
      <alignment horizontal="left" vertical="center" wrapText="1"/>
    </xf>
    <xf numFmtId="165" fontId="2" fillId="4" borderId="1" xfId="2" applyNumberFormat="1" applyFont="1" applyBorder="1" applyAlignment="1">
      <alignment horizontal="left" vertical="center" wrapText="1"/>
    </xf>
    <xf numFmtId="165" fontId="2" fillId="4" borderId="7" xfId="2" applyNumberFormat="1" applyFont="1" applyBorder="1" applyAlignment="1">
      <alignment horizontal="left" vertical="center" wrapText="1"/>
    </xf>
    <xf numFmtId="165" fontId="2" fillId="4" borderId="22" xfId="2" applyNumberFormat="1" applyBorder="1" applyAlignment="1">
      <alignment horizontal="left" vertical="center" wrapText="1"/>
    </xf>
    <xf numFmtId="165" fontId="2" fillId="4" borderId="23" xfId="2" applyNumberFormat="1" applyBorder="1" applyAlignment="1">
      <alignment horizontal="left" vertical="center" wrapText="1"/>
    </xf>
    <xf numFmtId="165" fontId="2" fillId="4" borderId="1" xfId="2" applyNumberFormat="1" applyBorder="1" applyAlignment="1">
      <alignment horizontal="left" vertical="center" wrapText="1"/>
    </xf>
    <xf numFmtId="165" fontId="2" fillId="4" borderId="7" xfId="2" applyNumberFormat="1" applyBorder="1" applyAlignment="1">
      <alignment horizontal="left" vertical="center" wrapText="1"/>
    </xf>
    <xf numFmtId="0" fontId="22" fillId="2" borderId="1" xfId="0" applyFont="1" applyFill="1" applyBorder="1" applyAlignment="1">
      <alignment horizontal="left" vertical="center" wrapText="1" indent="1"/>
    </xf>
    <xf numFmtId="0" fontId="23" fillId="4" borderId="19" xfId="2" applyFont="1" applyBorder="1" applyAlignment="1">
      <alignment horizontal="left" vertical="center" wrapText="1"/>
    </xf>
    <xf numFmtId="0" fontId="23" fillId="4" borderId="20" xfId="2" applyFont="1" applyBorder="1" applyAlignment="1">
      <alignment horizontal="left" vertical="center" wrapText="1"/>
    </xf>
    <xf numFmtId="0" fontId="23" fillId="4" borderId="18" xfId="2" applyFont="1" applyBorder="1" applyAlignment="1">
      <alignment horizontal="left" vertical="center" wrapText="1"/>
    </xf>
  </cellXfs>
  <cellStyles count="55">
    <cellStyle name="40% - Accent1" xfId="3" builtinId="31" customBuiltin="1"/>
    <cellStyle name="Accent1" xfId="2" builtinId="29" customBuiltin="1"/>
    <cellStyle name="Accent5" xfId="4" builtinId="45" customBuilti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eading 1" xfId="1" builtinId="16" customBuilti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Normal" xfId="0" builtinId="0" customBuiltin="1"/>
  </cellStyles>
  <dxfs count="3">
    <dxf>
      <font>
        <strike val="0"/>
        <outline val="0"/>
        <shadow val="0"/>
        <u val="none"/>
        <vertAlign val="baseline"/>
        <sz val="11"/>
        <color auto="1"/>
      </font>
    </dxf>
    <dxf>
      <font>
        <strike val="0"/>
        <outline val="0"/>
        <shadow val="0"/>
        <u val="none"/>
        <vertAlign val="baseline"/>
        <sz val="11"/>
        <color auto="1"/>
      </font>
    </dxf>
    <dxf>
      <font>
        <strike val="0"/>
        <outline val="0"/>
        <shadow val="0"/>
        <u val="none"/>
        <vertAlign val="baseline"/>
        <sz val="11"/>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1282700</xdr:colOff>
      <xdr:row>11</xdr:row>
      <xdr:rowOff>342900</xdr:rowOff>
    </xdr:from>
    <xdr:to>
      <xdr:col>7</xdr:col>
      <xdr:colOff>1270000</xdr:colOff>
      <xdr:row>11</xdr:row>
      <xdr:rowOff>342900</xdr:rowOff>
    </xdr:to>
    <xdr:cxnSp macro="">
      <xdr:nvCxnSpPr>
        <xdr:cNvPr id="3" name="Straight Arrow Connector 2"/>
        <xdr:cNvCxnSpPr/>
      </xdr:nvCxnSpPr>
      <xdr:spPr>
        <a:xfrm>
          <a:off x="1498600" y="5194300"/>
          <a:ext cx="93599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1270000</xdr:colOff>
      <xdr:row>9</xdr:row>
      <xdr:rowOff>558800</xdr:rowOff>
    </xdr:from>
    <xdr:to>
      <xdr:col>7</xdr:col>
      <xdr:colOff>1397000</xdr:colOff>
      <xdr:row>9</xdr:row>
      <xdr:rowOff>558800</xdr:rowOff>
    </xdr:to>
    <xdr:cxnSp macro="">
      <xdr:nvCxnSpPr>
        <xdr:cNvPr id="4" name="Straight Arrow Connector 3"/>
        <xdr:cNvCxnSpPr/>
      </xdr:nvCxnSpPr>
      <xdr:spPr>
        <a:xfrm>
          <a:off x="9296400" y="4495800"/>
          <a:ext cx="16891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50800</xdr:colOff>
      <xdr:row>13</xdr:row>
      <xdr:rowOff>419100</xdr:rowOff>
    </xdr:from>
    <xdr:to>
      <xdr:col>2</xdr:col>
      <xdr:colOff>177800</xdr:colOff>
      <xdr:row>13</xdr:row>
      <xdr:rowOff>419100</xdr:rowOff>
    </xdr:to>
    <xdr:cxnSp macro="">
      <xdr:nvCxnSpPr>
        <xdr:cNvPr id="7" name="Straight Arrow Connector 6"/>
        <xdr:cNvCxnSpPr/>
      </xdr:nvCxnSpPr>
      <xdr:spPr>
        <a:xfrm>
          <a:off x="266700" y="6184900"/>
          <a:ext cx="16891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9</xdr:row>
      <xdr:rowOff>625475</xdr:rowOff>
    </xdr:from>
    <xdr:to>
      <xdr:col>5</xdr:col>
      <xdr:colOff>38100</xdr:colOff>
      <xdr:row>9</xdr:row>
      <xdr:rowOff>625475</xdr:rowOff>
    </xdr:to>
    <xdr:cxnSp macro="">
      <xdr:nvCxnSpPr>
        <xdr:cNvPr id="11" name="Straight Arrow Connector 10"/>
        <xdr:cNvCxnSpPr/>
      </xdr:nvCxnSpPr>
      <xdr:spPr>
        <a:xfrm>
          <a:off x="219075" y="4540250"/>
          <a:ext cx="53721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1289050</xdr:colOff>
      <xdr:row>11</xdr:row>
      <xdr:rowOff>460375</xdr:rowOff>
    </xdr:from>
    <xdr:to>
      <xdr:col>7</xdr:col>
      <xdr:colOff>1295400</xdr:colOff>
      <xdr:row>11</xdr:row>
      <xdr:rowOff>460375</xdr:rowOff>
    </xdr:to>
    <xdr:cxnSp macro="">
      <xdr:nvCxnSpPr>
        <xdr:cNvPr id="13" name="Straight Arrow Connector 12"/>
        <xdr:cNvCxnSpPr/>
      </xdr:nvCxnSpPr>
      <xdr:spPr>
        <a:xfrm>
          <a:off x="2813050" y="5280025"/>
          <a:ext cx="672147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1285875</xdr:colOff>
      <xdr:row>11</xdr:row>
      <xdr:rowOff>631825</xdr:rowOff>
    </xdr:from>
    <xdr:to>
      <xdr:col>4</xdr:col>
      <xdr:colOff>133350</xdr:colOff>
      <xdr:row>11</xdr:row>
      <xdr:rowOff>631825</xdr:rowOff>
    </xdr:to>
    <xdr:cxnSp macro="">
      <xdr:nvCxnSpPr>
        <xdr:cNvPr id="4" name="Straight Arrow Connector 3"/>
        <xdr:cNvCxnSpPr/>
      </xdr:nvCxnSpPr>
      <xdr:spPr>
        <a:xfrm>
          <a:off x="2809875" y="2736850"/>
          <a:ext cx="153352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1247775</xdr:colOff>
      <xdr:row>11</xdr:row>
      <xdr:rowOff>457200</xdr:rowOff>
    </xdr:from>
    <xdr:to>
      <xdr:col>6</xdr:col>
      <xdr:colOff>685800</xdr:colOff>
      <xdr:row>11</xdr:row>
      <xdr:rowOff>647700</xdr:rowOff>
    </xdr:to>
    <xdr:cxnSp macro="">
      <xdr:nvCxnSpPr>
        <xdr:cNvPr id="5" name="Elbow Connector 4"/>
        <xdr:cNvCxnSpPr/>
      </xdr:nvCxnSpPr>
      <xdr:spPr>
        <a:xfrm flipV="1">
          <a:off x="6800850" y="2562225"/>
          <a:ext cx="781050" cy="190500"/>
        </a:xfrm>
        <a:prstGeom prst="bentConnector3">
          <a:avLst>
            <a:gd name="adj1" fmla="val 57317"/>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1247775</xdr:colOff>
      <xdr:row>7</xdr:row>
      <xdr:rowOff>530225</xdr:rowOff>
    </xdr:from>
    <xdr:to>
      <xdr:col>7</xdr:col>
      <xdr:colOff>1247775</xdr:colOff>
      <xdr:row>7</xdr:row>
      <xdr:rowOff>530225</xdr:rowOff>
    </xdr:to>
    <xdr:cxnSp macro="">
      <xdr:nvCxnSpPr>
        <xdr:cNvPr id="9" name="Straight Arrow Connector 8"/>
        <xdr:cNvCxnSpPr/>
      </xdr:nvCxnSpPr>
      <xdr:spPr>
        <a:xfrm>
          <a:off x="4114800" y="3540125"/>
          <a:ext cx="53721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25400</xdr:colOff>
      <xdr:row>9</xdr:row>
      <xdr:rowOff>361950</xdr:rowOff>
    </xdr:from>
    <xdr:to>
      <xdr:col>7</xdr:col>
      <xdr:colOff>1285875</xdr:colOff>
      <xdr:row>9</xdr:row>
      <xdr:rowOff>361950</xdr:rowOff>
    </xdr:to>
    <xdr:cxnSp macro="">
      <xdr:nvCxnSpPr>
        <xdr:cNvPr id="8" name="Straight Arrow Connector 7"/>
        <xdr:cNvCxnSpPr/>
      </xdr:nvCxnSpPr>
      <xdr:spPr>
        <a:xfrm>
          <a:off x="206375" y="4276725"/>
          <a:ext cx="931862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xdr:colOff>
      <xdr:row>11</xdr:row>
      <xdr:rowOff>393700</xdr:rowOff>
    </xdr:from>
    <xdr:to>
      <xdr:col>3</xdr:col>
      <xdr:colOff>1314450</xdr:colOff>
      <xdr:row>11</xdr:row>
      <xdr:rowOff>393700</xdr:rowOff>
    </xdr:to>
    <xdr:cxnSp macro="">
      <xdr:nvCxnSpPr>
        <xdr:cNvPr id="9" name="Straight Arrow Connector 8"/>
        <xdr:cNvCxnSpPr/>
      </xdr:nvCxnSpPr>
      <xdr:spPr>
        <a:xfrm>
          <a:off x="228600" y="5213350"/>
          <a:ext cx="395287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9525</xdr:colOff>
      <xdr:row>7</xdr:row>
      <xdr:rowOff>390525</xdr:rowOff>
    </xdr:from>
    <xdr:to>
      <xdr:col>7</xdr:col>
      <xdr:colOff>1333500</xdr:colOff>
      <xdr:row>7</xdr:row>
      <xdr:rowOff>390525</xdr:rowOff>
    </xdr:to>
    <xdr:cxnSp macro="">
      <xdr:nvCxnSpPr>
        <xdr:cNvPr id="10" name="Straight Arrow Connector 9"/>
        <xdr:cNvCxnSpPr/>
      </xdr:nvCxnSpPr>
      <xdr:spPr>
        <a:xfrm>
          <a:off x="4219575" y="3400425"/>
          <a:ext cx="535305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177800</xdr:colOff>
      <xdr:row>5</xdr:row>
      <xdr:rowOff>161925</xdr:rowOff>
    </xdr:from>
    <xdr:to>
      <xdr:col>7</xdr:col>
      <xdr:colOff>1285875</xdr:colOff>
      <xdr:row>5</xdr:row>
      <xdr:rowOff>161925</xdr:rowOff>
    </xdr:to>
    <xdr:cxnSp macro="">
      <xdr:nvCxnSpPr>
        <xdr:cNvPr id="13" name="Straight Arrow Connector 12"/>
        <xdr:cNvCxnSpPr/>
      </xdr:nvCxnSpPr>
      <xdr:spPr>
        <a:xfrm>
          <a:off x="177800" y="2266950"/>
          <a:ext cx="93472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76200</xdr:colOff>
      <xdr:row>3</xdr:row>
      <xdr:rowOff>381000</xdr:rowOff>
    </xdr:from>
    <xdr:to>
      <xdr:col>7</xdr:col>
      <xdr:colOff>1304925</xdr:colOff>
      <xdr:row>3</xdr:row>
      <xdr:rowOff>381000</xdr:rowOff>
    </xdr:to>
    <xdr:cxnSp macro="">
      <xdr:nvCxnSpPr>
        <xdr:cNvPr id="14" name="Straight Arrow Connector 13"/>
        <xdr:cNvCxnSpPr/>
      </xdr:nvCxnSpPr>
      <xdr:spPr>
        <a:xfrm>
          <a:off x="8315325" y="1581150"/>
          <a:ext cx="122872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6350</xdr:colOff>
      <xdr:row>7</xdr:row>
      <xdr:rowOff>390525</xdr:rowOff>
    </xdr:from>
    <xdr:to>
      <xdr:col>3</xdr:col>
      <xdr:colOff>9525</xdr:colOff>
      <xdr:row>7</xdr:row>
      <xdr:rowOff>390525</xdr:rowOff>
    </xdr:to>
    <xdr:cxnSp macro="">
      <xdr:nvCxnSpPr>
        <xdr:cNvPr id="16" name="Straight Arrow Connector 15"/>
        <xdr:cNvCxnSpPr/>
      </xdr:nvCxnSpPr>
      <xdr:spPr>
        <a:xfrm>
          <a:off x="187325" y="3400425"/>
          <a:ext cx="268922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1273175</xdr:colOff>
      <xdr:row>11</xdr:row>
      <xdr:rowOff>390525</xdr:rowOff>
    </xdr:from>
    <xdr:to>
      <xdr:col>7</xdr:col>
      <xdr:colOff>1276350</xdr:colOff>
      <xdr:row>11</xdr:row>
      <xdr:rowOff>390525</xdr:rowOff>
    </xdr:to>
    <xdr:cxnSp macro="">
      <xdr:nvCxnSpPr>
        <xdr:cNvPr id="19" name="Straight Arrow Connector 18"/>
        <xdr:cNvCxnSpPr/>
      </xdr:nvCxnSpPr>
      <xdr:spPr>
        <a:xfrm>
          <a:off x="6826250" y="5210175"/>
          <a:ext cx="268922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34925</xdr:colOff>
      <xdr:row>13</xdr:row>
      <xdr:rowOff>342900</xdr:rowOff>
    </xdr:from>
    <xdr:to>
      <xdr:col>1</xdr:col>
      <xdr:colOff>1304925</xdr:colOff>
      <xdr:row>13</xdr:row>
      <xdr:rowOff>342900</xdr:rowOff>
    </xdr:to>
    <xdr:cxnSp macro="">
      <xdr:nvCxnSpPr>
        <xdr:cNvPr id="20" name="Straight Arrow Connector 19"/>
        <xdr:cNvCxnSpPr/>
      </xdr:nvCxnSpPr>
      <xdr:spPr>
        <a:xfrm>
          <a:off x="215900" y="6067425"/>
          <a:ext cx="12700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123825</xdr:colOff>
      <xdr:row>5</xdr:row>
      <xdr:rowOff>276225</xdr:rowOff>
    </xdr:from>
    <xdr:to>
      <xdr:col>7</xdr:col>
      <xdr:colOff>1190625</xdr:colOff>
      <xdr:row>5</xdr:row>
      <xdr:rowOff>704850</xdr:rowOff>
    </xdr:to>
    <xdr:sp macro="" textlink="">
      <xdr:nvSpPr>
        <xdr:cNvPr id="22" name="TextBox 21"/>
        <xdr:cNvSpPr txBox="1"/>
      </xdr:nvSpPr>
      <xdr:spPr>
        <a:xfrm>
          <a:off x="304800" y="2381250"/>
          <a:ext cx="9124950" cy="428625"/>
        </a:xfrm>
        <a:prstGeom prst="rect">
          <a:avLst/>
        </a:prstGeom>
        <a:solidFill>
          <a:schemeClr val="lt1"/>
        </a:solidFill>
        <a:ln w="317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mn-lt"/>
              <a:ea typeface="+mn-ea"/>
              <a:cs typeface="+mn-cs"/>
            </a:rPr>
            <a:t>Your success relies a great deal on your TIME MANAGEMENT!  You should look at what you need to get done in order to complete your project, how much time you have, and then plan a series of goals and deadlines for yourself.  Your Midway and Final Progress Reports will help too.</a:t>
          </a:r>
          <a:r>
            <a:rPr lang="en-US" sz="10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1228725</xdr:colOff>
      <xdr:row>5</xdr:row>
      <xdr:rowOff>428625</xdr:rowOff>
    </xdr:from>
    <xdr:to>
      <xdr:col>7</xdr:col>
      <xdr:colOff>38100</xdr:colOff>
      <xdr:row>5</xdr:row>
      <xdr:rowOff>428625</xdr:rowOff>
    </xdr:to>
    <xdr:cxnSp macro="">
      <xdr:nvCxnSpPr>
        <xdr:cNvPr id="8" name="Straight Arrow Connector 7"/>
        <xdr:cNvCxnSpPr/>
      </xdr:nvCxnSpPr>
      <xdr:spPr>
        <a:xfrm>
          <a:off x="2752725" y="2533650"/>
          <a:ext cx="55245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1000125</xdr:colOff>
      <xdr:row>3</xdr:row>
      <xdr:rowOff>485775</xdr:rowOff>
    </xdr:from>
    <xdr:to>
      <xdr:col>6</xdr:col>
      <xdr:colOff>1304925</xdr:colOff>
      <xdr:row>3</xdr:row>
      <xdr:rowOff>485775</xdr:rowOff>
    </xdr:to>
    <xdr:cxnSp macro="">
      <xdr:nvCxnSpPr>
        <xdr:cNvPr id="11" name="Straight Arrow Connector 10"/>
        <xdr:cNvCxnSpPr/>
      </xdr:nvCxnSpPr>
      <xdr:spPr>
        <a:xfrm>
          <a:off x="3867150" y="1685925"/>
          <a:ext cx="4333875"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tables/table1.xml><?xml version="1.0" encoding="utf-8"?>
<table xmlns="http://schemas.openxmlformats.org/spreadsheetml/2006/main" id="1" name="YearLookup" displayName="YearLookup" ref="A1:A9" totalsRowShown="0" headerRowDxfId="2" dataDxfId="1">
  <autoFilter ref="A1:A9"/>
  <tableColumns count="1">
    <tableColumn id="1" name="Year" dataDxfId="0"/>
  </tableColumns>
  <tableStyleInfo name="TableStyleMedium23"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othecary">
  <a:themeElements>
    <a:clrScheme name="Apothecary">
      <a:dk1>
        <a:sysClr val="windowText" lastClr="000000"/>
      </a:dk1>
      <a:lt1>
        <a:sysClr val="window" lastClr="FFFFFF"/>
      </a:lt1>
      <a:dk2>
        <a:srgbClr val="564B3C"/>
      </a:dk2>
      <a:lt2>
        <a:srgbClr val="ECEDD1"/>
      </a:lt2>
      <a:accent1>
        <a:srgbClr val="93A299"/>
      </a:accent1>
      <a:accent2>
        <a:srgbClr val="CF543F"/>
      </a:accent2>
      <a:accent3>
        <a:srgbClr val="B5AE53"/>
      </a:accent3>
      <a:accent4>
        <a:srgbClr val="848058"/>
      </a:accent4>
      <a:accent5>
        <a:srgbClr val="E8B54D"/>
      </a:accent5>
      <a:accent6>
        <a:srgbClr val="786C71"/>
      </a:accent6>
      <a:hlink>
        <a:srgbClr val="CCCC00"/>
      </a:hlink>
      <a:folHlink>
        <a:srgbClr val="B2B2B2"/>
      </a:folHlink>
    </a:clrScheme>
    <a:fontScheme name="Calendar">
      <a:majorFont>
        <a:latin typeface="Century Gothic"/>
        <a:ea typeface=""/>
        <a:cs typeface=""/>
      </a:majorFont>
      <a:minorFont>
        <a:latin typeface="Century Gothic"/>
        <a:ea typeface=""/>
        <a:cs typeface=""/>
      </a:minorFont>
    </a:fontScheme>
    <a:fmtScheme name="Apothecary">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3000"/>
            <a:satMod val="140000"/>
          </a:schemeClr>
        </a:solidFill>
        <a:blipFill rotWithShape="1">
          <a:blip xmlns:r="http://schemas.openxmlformats.org/officeDocument/2006/relationships" r:embed="rId1">
            <a:duotone>
              <a:schemeClr val="phClr">
                <a:tint val="70000"/>
                <a:satMod val="170000"/>
              </a:schemeClr>
              <a:schemeClr val="phClr">
                <a:shade val="70000"/>
                <a:satMod val="13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14"/>
  <sheetViews>
    <sheetView showGridLines="0" topLeftCell="C1" workbookViewId="0">
      <selection activeCell="L6" sqref="L6"/>
    </sheetView>
  </sheetViews>
  <sheetFormatPr defaultColWidth="8.75" defaultRowHeight="14.25"/>
  <cols>
    <col min="1" max="1" width="2.375" style="1" customWidth="1"/>
    <col min="2" max="8" width="17.625" style="4" customWidth="1"/>
    <col min="9" max="9" width="8.75" style="4"/>
    <col min="10" max="10" width="15.25" style="4" customWidth="1"/>
    <col min="11" max="11" width="16.75" style="4" customWidth="1"/>
    <col min="12" max="16384" width="8.75" style="4"/>
  </cols>
  <sheetData>
    <row r="1" spans="1:11" s="1" customFormat="1" ht="59.25" customHeight="1" thickBot="1">
      <c r="B1" s="42">
        <f>DATE(CalendarYear,1,1)</f>
        <v>42005</v>
      </c>
      <c r="C1" s="42"/>
      <c r="D1" s="42"/>
      <c r="E1" s="42"/>
      <c r="F1" s="42"/>
      <c r="G1" s="42"/>
      <c r="H1" s="42"/>
      <c r="J1" s="7" t="s">
        <v>10</v>
      </c>
      <c r="K1" s="8">
        <v>2015</v>
      </c>
    </row>
    <row r="2" spans="1:11" s="3" customFormat="1" ht="21.75" customHeight="1">
      <c r="A2" s="2"/>
      <c r="B2" s="15" t="s">
        <v>0</v>
      </c>
      <c r="C2" s="16" t="s">
        <v>1</v>
      </c>
      <c r="D2" s="16" t="s">
        <v>2</v>
      </c>
      <c r="E2" s="16" t="s">
        <v>3</v>
      </c>
      <c r="F2" s="16" t="s">
        <v>4</v>
      </c>
      <c r="G2" s="16" t="s">
        <v>5</v>
      </c>
      <c r="H2" s="17" t="s">
        <v>6</v>
      </c>
    </row>
    <row r="3" spans="1:11" ht="14.1" customHeight="1">
      <c r="B3" s="9" t="str">
        <f>IF(AND(YEAR(JanSun1)=CalendarYear,MONTH(JanSun1)=1),JanSun1, "")</f>
        <v/>
      </c>
      <c r="C3" s="5" t="str">
        <f>IF(AND(YEAR(JanSun1+1)=CalendarYear,MONTH(JanSun1+1)=1),JanSun1+1, "")</f>
        <v/>
      </c>
      <c r="D3" s="5" t="str">
        <f>IF(AND(YEAR(JanSun1+2)=CalendarYear,MONTH(JanSun1+2)=1),JanSun1+2, "")</f>
        <v/>
      </c>
      <c r="E3" s="5" t="str">
        <f>IF(AND(YEAR(JanSun1+3)=CalendarYear,MONTH(JanSun1+3)=1),JanSun1+3, "")</f>
        <v/>
      </c>
      <c r="F3" s="5">
        <f>IF(AND(YEAR(JanSun1+4)=CalendarYear,MONTH(JanSun1+4)=1),JanSun1+4, "")</f>
        <v>42005</v>
      </c>
      <c r="G3" s="5">
        <f>IF(AND(YEAR(JanSun1+5)=CalendarYear,MONTH(JanSun1+5)=1),JanSun1+5, "")</f>
        <v>42006</v>
      </c>
      <c r="H3" s="10">
        <f>IF(AND(YEAR(JanSun1+6)=CalendarYear,MONTH(JanSun1+6)=1),JanSun1+6, "")</f>
        <v>42007</v>
      </c>
    </row>
    <row r="4" spans="1:11" ht="57.95" customHeight="1">
      <c r="B4" s="29" t="s">
        <v>11</v>
      </c>
      <c r="C4" s="25"/>
      <c r="D4" s="26"/>
      <c r="E4" s="26"/>
      <c r="F4" s="26"/>
      <c r="G4" s="26"/>
      <c r="H4" s="30"/>
    </row>
    <row r="5" spans="1:11" ht="14.1" customHeight="1">
      <c r="B5" s="11">
        <f>IF(AND(YEAR(JanSun1+7)=CalendarYear,MONTH(JanSun1+7)=1),JanSun1+7, "")</f>
        <v>42008</v>
      </c>
      <c r="C5" s="5">
        <f>IF(AND(YEAR(JanSun1+8)=CalendarYear,MONTH(JanSun1+8)=1),JanSun1+8, "")</f>
        <v>42009</v>
      </c>
      <c r="D5" s="5">
        <f>IF(AND(YEAR(JanSun1+9)=CalendarYear,MONTH(JanSun1+9)=1),JanSun1+9, "")</f>
        <v>42010</v>
      </c>
      <c r="E5" s="5">
        <f>IF(AND(YEAR(JanSun1+10)=CalendarYear,MONTH(JanSun1+10)=1),JanSun1+10, "")</f>
        <v>42011</v>
      </c>
      <c r="F5" s="5">
        <f>IF(AND(YEAR(JanSun1+11)=CalendarYear,MONTH(JanSun1+11)=1),JanSun1+11, "")</f>
        <v>42012</v>
      </c>
      <c r="G5" s="5">
        <f>IF(AND(YEAR(JanSun1+12)=CalendarYear,MONTH(JanSun1+12)=1),JanSun1+12,"")</f>
        <v>42013</v>
      </c>
      <c r="H5" s="10">
        <f>IF(AND(YEAR(JanSun1+13)=CalendarYear,MONTH(JanSun1+13)=1),JanSun1+13, "")</f>
        <v>42014</v>
      </c>
    </row>
    <row r="6" spans="1:11" ht="57.95" customHeight="1">
      <c r="B6" s="29"/>
      <c r="C6" s="25"/>
      <c r="D6" s="26"/>
      <c r="E6" s="26"/>
      <c r="F6" s="26"/>
      <c r="G6" s="26"/>
      <c r="H6" s="30"/>
    </row>
    <row r="7" spans="1:11" ht="14.1" customHeight="1">
      <c r="B7" s="11">
        <f>IF(AND(YEAR(JanSun1+14)=CalendarYear,MONTH(JanSun1+14)=1),JanSun1+14, "")</f>
        <v>42015</v>
      </c>
      <c r="C7" s="5">
        <f>IF(AND(YEAR(JanSun1+15)=CalendarYear,MONTH(JanSun1+15)=1),JanSun1+15, "")</f>
        <v>42016</v>
      </c>
      <c r="D7" s="5">
        <f>IF(AND(YEAR(JanSun1+16)=CalendarYear,MONTH(JanSun1+16)=1),JanSun1+16, "")</f>
        <v>42017</v>
      </c>
      <c r="E7" s="5">
        <f>IF(AND(YEAR(JanSun1+17)=CalendarYear,MONTH(JanSun1+17)=1),JanSun1+17, "")</f>
        <v>42018</v>
      </c>
      <c r="F7" s="5">
        <f>IF(AND(YEAR(JanSun1+18)=CalendarYear,MONTH(JanSun1+18)=1),JanSun1+18, "")</f>
        <v>42019</v>
      </c>
      <c r="G7" s="5">
        <f>IF(AND(YEAR(JanSun1+19)=CalendarYear,MONTH(JanSun1+19)=1),JanSun1+19, "")</f>
        <v>42020</v>
      </c>
      <c r="H7" s="10">
        <f>IF(AND(YEAR(JanSun1+20)=CalendarYear,MONTH(JanSun1+20)=1),JanSun1+20, "")</f>
        <v>42021</v>
      </c>
    </row>
    <row r="8" spans="1:11" ht="57.95" customHeight="1">
      <c r="B8" s="29"/>
      <c r="C8" s="25"/>
      <c r="D8" s="26"/>
      <c r="E8" s="26"/>
      <c r="F8" s="26"/>
      <c r="G8" s="26"/>
      <c r="H8" s="30"/>
    </row>
    <row r="9" spans="1:11" ht="14.1" customHeight="1">
      <c r="B9" s="12">
        <f>IF(AND(YEAR(JanSun1+21)=CalendarYear,MONTH(JanSun1+21)=1),JanSun1+21, "")</f>
        <v>42022</v>
      </c>
      <c r="C9" s="6">
        <f>IF(AND(YEAR(JanSun1+22)=CalendarYear,MONTH(JanSun1+22)=1),JanSun1+22, "")</f>
        <v>42023</v>
      </c>
      <c r="D9" s="6">
        <f>IF(AND(YEAR(JanSun1+23)=CalendarYear,MONTH(JanSun1+23)=1),JanSun1+23, "")</f>
        <v>42024</v>
      </c>
      <c r="E9" s="6">
        <f>IF(AND(YEAR(JanSun1+24)=CalendarYear,MONTH(JanSun1+24)=1),JanSun1+24, "")</f>
        <v>42025</v>
      </c>
      <c r="F9" s="6">
        <f>IF(AND(YEAR(JanSun1+25)=CalendarYear,MONTH(JanSun1+25)=1),JanSun1+25, "")</f>
        <v>42026</v>
      </c>
      <c r="G9" s="6">
        <f>IF(AND(YEAR(JanSun1+26)=CalendarYear,MONTH(JanSun1+26)=1),JanSun1+26, "")</f>
        <v>42027</v>
      </c>
      <c r="H9" s="13">
        <f>IF(AND(YEAR(JanSun1+27)=CalendarYear,MONTH(JanSun1+27)=1),JanSun1+27, "")</f>
        <v>42028</v>
      </c>
    </row>
    <row r="10" spans="1:11" ht="57.95" customHeight="1">
      <c r="B10" s="29"/>
      <c r="C10" s="25"/>
      <c r="D10" s="26"/>
      <c r="E10" s="26"/>
      <c r="F10" s="26"/>
      <c r="G10" s="26"/>
      <c r="H10" s="30"/>
    </row>
    <row r="11" spans="1:11" ht="14.1" customHeight="1">
      <c r="B11" s="12">
        <f>IF(AND(YEAR(JanSun1+28)=CalendarYear,MONTH(JanSun1+28)=1),JanSun1+28, "")</f>
        <v>42029</v>
      </c>
      <c r="C11" s="6">
        <f>IF(AND(YEAR(JanSun1+29)=CalendarYear,MONTH(JanSun1+29)=1),JanSun1+29, "")</f>
        <v>42030</v>
      </c>
      <c r="D11" s="6">
        <f>IF(AND(YEAR(JanSun1+30)=CalendarYear,MONTH(JanSun1+30)=1),JanSun1+30, "")</f>
        <v>42031</v>
      </c>
      <c r="E11" s="6">
        <f>IF(AND(YEAR(JanSun1+31)=CalendarYear,MONTH(JanSun1+31)=1),JanSun1+31, "")</f>
        <v>42032</v>
      </c>
      <c r="F11" s="6">
        <f>IF(AND(YEAR(JanSun1+32)=CalendarYear,MONTH(JanSun1+32)=1),JanSun1+32, "")</f>
        <v>42033</v>
      </c>
      <c r="G11" s="6">
        <f>IF(AND(YEAR(JanSun1+33)=CalendarYear,MONTH(JanSun1+33)=1),JanSun1+33, "")</f>
        <v>42034</v>
      </c>
      <c r="H11" s="13">
        <f>IF(AND(YEAR(JanSun1+34)=CalendarYear,MONTH(JanSun1+34)=1),JanSun1+34, "")</f>
        <v>42035</v>
      </c>
    </row>
    <row r="12" spans="1:11" ht="57.95" customHeight="1">
      <c r="B12" s="29"/>
      <c r="C12" s="25"/>
      <c r="D12" s="26"/>
      <c r="E12" s="26"/>
      <c r="F12" s="25"/>
      <c r="G12" s="25"/>
      <c r="H12" s="30"/>
    </row>
    <row r="13" spans="1:11" ht="14.1" customHeight="1">
      <c r="B13" s="12" t="str">
        <f>IF(AND(YEAR(JanSun1+35)=CalendarYear,MONTH(JanSun1+35)=1),JanSun1+35, "")</f>
        <v/>
      </c>
      <c r="C13" s="6" t="str">
        <f>IF(AND(YEAR(JanSun1+36)=CalendarYear,MONTH(JanSun1+36)=1),JanSun1+36, "")</f>
        <v/>
      </c>
      <c r="D13" s="46" t="s">
        <v>8</v>
      </c>
      <c r="E13" s="46"/>
      <c r="F13" s="46"/>
      <c r="G13" s="46"/>
      <c r="H13" s="47"/>
    </row>
    <row r="14" spans="1:11" ht="57.95" customHeight="1" thickBot="1">
      <c r="B14" s="31"/>
      <c r="C14" s="27"/>
      <c r="D14" s="43"/>
      <c r="E14" s="44"/>
      <c r="F14" s="44"/>
      <c r="G14" s="44"/>
      <c r="H14" s="45"/>
    </row>
  </sheetData>
  <mergeCells count="3">
    <mergeCell ref="B1:H1"/>
    <mergeCell ref="D14:H14"/>
    <mergeCell ref="D13:H13"/>
  </mergeCells>
  <phoneticPr fontId="1" type="noConversion"/>
  <dataValidations count="1">
    <dataValidation type="list" allowBlank="1" showInputMessage="1" showErrorMessage="1" sqref="K1">
      <formula1>Year</formula1>
    </dataValidation>
  </dataValidations>
  <printOptions horizontalCentered="1"/>
  <pageMargins left="0.5" right="0.5" top="0.75" bottom="0.75" header="0.5" footer="0.5"/>
  <headerFooter alignWithMargins="0"/>
  <customProperties>
    <customPr name="SheetChanged" r:id="rId1"/>
  </customProperties>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DATE(CalendarYear,10,1)</f>
        <v>42278</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IF(AND(YEAR(OctSun1)=CalendarYear,MONTH(OctSun1)=10),OctSun1, "")</f>
        <v/>
      </c>
      <c r="C3" s="5" t="str">
        <f>IF(AND(YEAR(OctSun1+1)=CalendarYear,MONTH(OctSun1+1)=10),OctSun1+1, "")</f>
        <v/>
      </c>
      <c r="D3" s="5" t="str">
        <f>IF(AND(YEAR(OctSun1+2)=CalendarYear,MONTH(OctSun1+2)=10),OctSun1+2, "")</f>
        <v/>
      </c>
      <c r="E3" s="5" t="str">
        <f>IF(AND(YEAR(OctSun1+3)=CalendarYear,MONTH(OctSun1+3)=10),OctSun1+3, "")</f>
        <v/>
      </c>
      <c r="F3" s="5">
        <f>IF(AND(YEAR(OctSun1+4)=CalendarYear,MONTH(OctSun1+4)=10),OctSun1+4, "")</f>
        <v>42278</v>
      </c>
      <c r="G3" s="5">
        <f>IF(AND(YEAR(OctSun1+5)=CalendarYear,MONTH(OctSun1+5)=10),OctSun1+5, "")</f>
        <v>42279</v>
      </c>
      <c r="H3" s="10">
        <f>IF(AND(YEAR(OctSun1+6)=CalendarYear,MONTH(OctSun1+6)=10),OctSun1+6, "")</f>
        <v>42280</v>
      </c>
    </row>
    <row r="4" spans="1:8" ht="57.95" customHeight="1">
      <c r="B4" s="29"/>
      <c r="C4" s="25"/>
      <c r="D4" s="26"/>
      <c r="E4" s="26"/>
      <c r="F4" s="26"/>
      <c r="G4" s="26"/>
      <c r="H4" s="30"/>
    </row>
    <row r="5" spans="1:8" ht="14.1" customHeight="1">
      <c r="B5" s="11">
        <f>IF(AND(YEAR(OctSun1+7)=CalendarYear,MONTH(OctSun1+7)=10),OctSun1+7, "")</f>
        <v>42281</v>
      </c>
      <c r="C5" s="5">
        <f>IF(AND(YEAR(OctSun1+8)=CalendarYear,MONTH(OctSun1+8)=10),OctSun1+8, "")</f>
        <v>42282</v>
      </c>
      <c r="D5" s="5">
        <f>IF(AND(YEAR(OctSun1+9)=CalendarYear,MONTH(OctSun1+9)=10),OctSun1+9, "")</f>
        <v>42283</v>
      </c>
      <c r="E5" s="5">
        <f>IF(AND(YEAR(OctSun1+10)=CalendarYear,MONTH(OctSun1+10)=10),OctSun1+10, "")</f>
        <v>42284</v>
      </c>
      <c r="F5" s="5">
        <f>IF(AND(YEAR(OctSun1+11)=CalendarYear,MONTH(OctSun1+11)=10),OctSun1+11, "")</f>
        <v>42285</v>
      </c>
      <c r="G5" s="5">
        <f>IF(AND(YEAR(OctSun1+12)=CalendarYear,MONTH(OctSun1+12)=10),OctSun1+12,"")</f>
        <v>42286</v>
      </c>
      <c r="H5" s="10">
        <f>IF(AND(YEAR(OctSun1+13)=CalendarYear,MONTH(OctSun1+13)=10),OctSun1+13, "")</f>
        <v>42287</v>
      </c>
    </row>
    <row r="6" spans="1:8" ht="57.95" customHeight="1">
      <c r="B6" s="29"/>
      <c r="C6" s="25"/>
      <c r="D6" s="26"/>
      <c r="E6" s="26"/>
      <c r="F6" s="26"/>
      <c r="G6" s="26"/>
      <c r="H6" s="30"/>
    </row>
    <row r="7" spans="1:8" ht="14.1" customHeight="1">
      <c r="B7" s="11">
        <f>IF(AND(YEAR(OctSun1+14)=CalendarYear,MONTH(OctSun1+14)=10),OctSun1+14, "")</f>
        <v>42288</v>
      </c>
      <c r="C7" s="5">
        <f>IF(AND(YEAR(OctSun1+15)=CalendarYear,MONTH(OctSun1+15)=10),OctSun1+15, "")</f>
        <v>42289</v>
      </c>
      <c r="D7" s="5">
        <f>IF(AND(YEAR(OctSun1+16)=CalendarYear,MONTH(OctSun1+16)=10),OctSun1+16, "")</f>
        <v>42290</v>
      </c>
      <c r="E7" s="5">
        <f>IF(AND(YEAR(OctSun1+17)=CalendarYear,MONTH(OctSun1+17)=10),OctSun1+17, "")</f>
        <v>42291</v>
      </c>
      <c r="F7" s="5">
        <f>IF(AND(YEAR(OctSun1+18)=CalendarYear,MONTH(OctSun1+18)=10),OctSun1+18, "")</f>
        <v>42292</v>
      </c>
      <c r="G7" s="5">
        <f>IF(AND(YEAR(OctSun1+19)=CalendarYear,MONTH(OctSun1+19)=10),OctSun1+19, "")</f>
        <v>42293</v>
      </c>
      <c r="H7" s="10">
        <f>IF(AND(YEAR(OctSun1+20)=CalendarYear,MONTH(OctSun1+20)=10),OctSun1+20, "")</f>
        <v>42294</v>
      </c>
    </row>
    <row r="8" spans="1:8" ht="57.95" customHeight="1">
      <c r="B8" s="29"/>
      <c r="C8" s="25"/>
      <c r="D8" s="26"/>
      <c r="E8" s="26"/>
      <c r="F8" s="26"/>
      <c r="G8" s="26"/>
      <c r="H8" s="30"/>
    </row>
    <row r="9" spans="1:8" ht="14.1" customHeight="1">
      <c r="B9" s="12">
        <f>IF(AND(YEAR(OctSun1+21)=CalendarYear,MONTH(OctSun1+21)=10),OctSun1+21, "")</f>
        <v>42295</v>
      </c>
      <c r="C9" s="6">
        <f>IF(AND(YEAR(OctSun1+22)=CalendarYear,MONTH(OctSun1+22)=10),OctSun1+22, "")</f>
        <v>42296</v>
      </c>
      <c r="D9" s="6">
        <f>IF(AND(YEAR(OctSun1+23)=CalendarYear,MONTH(OctSun1+23)=10),OctSun1+23, "")</f>
        <v>42297</v>
      </c>
      <c r="E9" s="6">
        <f>IF(AND(YEAR(OctSun1+24)=CalendarYear,MONTH(OctSun1+24)=10),OctSun1+24, "")</f>
        <v>42298</v>
      </c>
      <c r="F9" s="6">
        <f>IF(AND(YEAR(OctSun1+25)=CalendarYear,MONTH(OctSun1+25)=10),OctSun1+25, "")</f>
        <v>42299</v>
      </c>
      <c r="G9" s="6">
        <f>IF(AND(YEAR(OctSun1+26)=CalendarYear,MONTH(OctSun1+26)=10),OctSun1+26, "")</f>
        <v>42300</v>
      </c>
      <c r="H9" s="13">
        <f>IF(AND(YEAR(OctSun1+27)=CalendarYear,MONTH(OctSun1+27)=10),OctSun1+27, "")</f>
        <v>42301</v>
      </c>
    </row>
    <row r="10" spans="1:8" ht="57.95" customHeight="1">
      <c r="B10" s="29"/>
      <c r="C10" s="25"/>
      <c r="D10" s="26"/>
      <c r="E10" s="26"/>
      <c r="F10" s="26"/>
      <c r="G10" s="26"/>
      <c r="H10" s="30"/>
    </row>
    <row r="11" spans="1:8" ht="14.1" customHeight="1">
      <c r="B11" s="12">
        <f>IF(AND(YEAR(OctSun1+28)=CalendarYear,MONTH(OctSun1+28)=10),OctSun1+28, "")</f>
        <v>42302</v>
      </c>
      <c r="C11" s="6">
        <f>IF(AND(YEAR(OctSun1+29)=CalendarYear,MONTH(OctSun1+29)=10),OctSun1+29, "")</f>
        <v>42303</v>
      </c>
      <c r="D11" s="6">
        <f>IF(AND(YEAR(OctSun1+30)=CalendarYear,MONTH(OctSun1+30)=10),OctSun1+30, "")</f>
        <v>42304</v>
      </c>
      <c r="E11" s="6">
        <f>IF(AND(YEAR(OctSun1+31)=CalendarYear,MONTH(OctSun1+31)=10),OctSun1+31, "")</f>
        <v>42305</v>
      </c>
      <c r="F11" s="6">
        <f>IF(AND(YEAR(OctSun1+32)=CalendarYear,MONTH(OctSun1+32)=10),OctSun1+32, "")</f>
        <v>42306</v>
      </c>
      <c r="G11" s="6">
        <f>IF(AND(YEAR(OctSun1+33)=CalendarYear,MONTH(OctSun1+33)=10),OctSun1+33, "")</f>
        <v>42307</v>
      </c>
      <c r="H11" s="13">
        <f>IF(AND(YEAR(OctSun1+34)=CalendarYear,MONTH(OctSun1+34)=10),OctSun1+34, "")</f>
        <v>42308</v>
      </c>
    </row>
    <row r="12" spans="1:8" ht="57.95" customHeight="1">
      <c r="B12" s="29"/>
      <c r="C12" s="25"/>
      <c r="D12" s="26"/>
      <c r="E12" s="26"/>
      <c r="F12" s="25"/>
      <c r="G12" s="25"/>
      <c r="H12" s="30"/>
    </row>
    <row r="13" spans="1:8" ht="14.1" customHeight="1">
      <c r="B13" s="28" t="str">
        <f>IF(AND(YEAR(OctSun1+35)=CalendarYear,MONTH(OctSun1+35)=10),OctSun1+35, "")</f>
        <v/>
      </c>
      <c r="C13" s="24" t="str">
        <f>IF(AND(YEAR(OctSun1+36)=CalendarYear,MONTH(OctSun1+36)=10),OctSun1+36, "")</f>
        <v/>
      </c>
      <c r="D13" s="46" t="s">
        <v>8</v>
      </c>
      <c r="E13" s="46"/>
      <c r="F13" s="46"/>
      <c r="G13" s="46"/>
      <c r="H13" s="47"/>
    </row>
    <row r="14" spans="1:8" ht="57.95" customHeight="1" thickBot="1">
      <c r="B14" s="31"/>
      <c r="C14" s="27"/>
      <c r="D14" s="43"/>
      <c r="E14" s="44"/>
      <c r="F14" s="44"/>
      <c r="G14" s="44"/>
      <c r="H14" s="45"/>
    </row>
  </sheetData>
  <mergeCells count="3">
    <mergeCell ref="B1:H1"/>
    <mergeCell ref="D13:H13"/>
    <mergeCell ref="D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DATE(CalendarYear,11,1)</f>
        <v>42309</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f>IF(AND(YEAR(NovSun1)=CalendarYear,MONTH(NovSun1)=11),NovSun1, "")</f>
        <v>42309</v>
      </c>
      <c r="C3" s="5">
        <f>IF(AND(YEAR(NovSun1+1)=CalendarYear,MONTH(NovSun1+1)=11),NovSun1+1, "")</f>
        <v>42310</v>
      </c>
      <c r="D3" s="5">
        <f>IF(AND(YEAR(NovSun1+2)=CalendarYear,MONTH(NovSun1+2)=11),NovSun1+2, "")</f>
        <v>42311</v>
      </c>
      <c r="E3" s="5">
        <f>IF(AND(YEAR(NovSun1+3)=CalendarYear,MONTH(NovSun1+3)=11),NovSun1+3, "")</f>
        <v>42312</v>
      </c>
      <c r="F3" s="5">
        <f>IF(AND(YEAR(NovSun1+4)=CalendarYear,MONTH(NovSun1+4)=11),NovSun1+4, "")</f>
        <v>42313</v>
      </c>
      <c r="G3" s="5">
        <f>IF(AND(YEAR(NovSun1+5)=CalendarYear,MONTH(NovSun1+5)=11),NovSun1+5, "")</f>
        <v>42314</v>
      </c>
      <c r="H3" s="10">
        <f>IF(AND(YEAR(NovSun1+6)=CalendarYear,MONTH(NovSun1+6)=11),NovSun1+6, "")</f>
        <v>42315</v>
      </c>
    </row>
    <row r="4" spans="1:8" ht="57.95" customHeight="1">
      <c r="B4" s="29"/>
      <c r="C4" s="25"/>
      <c r="D4" s="26"/>
      <c r="E4" s="26"/>
      <c r="F4" s="26"/>
      <c r="G4" s="26"/>
      <c r="H4" s="30"/>
    </row>
    <row r="5" spans="1:8" ht="14.1" customHeight="1">
      <c r="B5" s="11">
        <f>IF(AND(YEAR(NovSun1+7)=CalendarYear,MONTH(NovSun1+7)=11),NovSun1+7, "")</f>
        <v>42316</v>
      </c>
      <c r="C5" s="5">
        <f>IF(AND(YEAR(NovSun1+8)=CalendarYear,MONTH(NovSun1+8)=11),NovSun1+8, "")</f>
        <v>42317</v>
      </c>
      <c r="D5" s="5">
        <f>IF(AND(YEAR(NovSun1+9)=CalendarYear,MONTH(NovSun1+9)=11),NovSun1+9, "")</f>
        <v>42318</v>
      </c>
      <c r="E5" s="5">
        <f>IF(AND(YEAR(NovSun1+10)=CalendarYear,MONTH(NovSun1+10)=11),NovSun1+10, "")</f>
        <v>42319</v>
      </c>
      <c r="F5" s="5">
        <f>IF(AND(YEAR(NovSun1+11)=CalendarYear,MONTH(NovSun1+11)=11),NovSun1+11, "")</f>
        <v>42320</v>
      </c>
      <c r="G5" s="5">
        <f>IF(AND(YEAR(NovSun1+12)=CalendarYear,MONTH(NovSun1+12)=11),NovSun1+12,"")</f>
        <v>42321</v>
      </c>
      <c r="H5" s="10">
        <f>IF(AND(YEAR(NovSun1+13)=CalendarYear,MONTH(NovSun1+13)=11),NovSun1+13, "")</f>
        <v>42322</v>
      </c>
    </row>
    <row r="6" spans="1:8" ht="57.95" customHeight="1">
      <c r="B6" s="29"/>
      <c r="C6" s="25"/>
      <c r="D6" s="26"/>
      <c r="E6" s="26"/>
      <c r="F6" s="26"/>
      <c r="G6" s="26"/>
      <c r="H6" s="30"/>
    </row>
    <row r="7" spans="1:8" ht="14.1" customHeight="1">
      <c r="B7" s="11">
        <f>IF(AND(YEAR(NovSun1+14)=CalendarYear,MONTH(NovSun1+14)=11),NovSun1+14, "")</f>
        <v>42323</v>
      </c>
      <c r="C7" s="5">
        <f>IF(AND(YEAR(NovSun1+15)=CalendarYear,MONTH(NovSun1+15)=11),NovSun1+15, "")</f>
        <v>42324</v>
      </c>
      <c r="D7" s="5">
        <f>IF(AND(YEAR(NovSun1+16)=CalendarYear,MONTH(NovSun1+16)=11),NovSun1+16, "")</f>
        <v>42325</v>
      </c>
      <c r="E7" s="5">
        <f>IF(AND(YEAR(NovSun1+17)=CalendarYear,MONTH(NovSun1+17)=11),NovSun1+17, "")</f>
        <v>42326</v>
      </c>
      <c r="F7" s="5">
        <f>IF(AND(YEAR(NovSun1+18)=CalendarYear,MONTH(NovSun1+18)=11),NovSun1+18, "")</f>
        <v>42327</v>
      </c>
      <c r="G7" s="5">
        <f>IF(AND(YEAR(NovSun1+19)=CalendarYear,MONTH(NovSun1+19)=11),NovSun1+19, "")</f>
        <v>42328</v>
      </c>
      <c r="H7" s="10">
        <f>IF(AND(YEAR(NovSun1+20)=CalendarYear,MONTH(NovSun1+20)=11),NovSun1+20, "")</f>
        <v>42329</v>
      </c>
    </row>
    <row r="8" spans="1:8" ht="57.95" customHeight="1">
      <c r="B8" s="29"/>
      <c r="C8" s="25"/>
      <c r="D8" s="26"/>
      <c r="E8" s="26"/>
      <c r="F8" s="26"/>
      <c r="G8" s="26"/>
      <c r="H8" s="30"/>
    </row>
    <row r="9" spans="1:8" ht="14.1" customHeight="1">
      <c r="B9" s="12">
        <f>IF(AND(YEAR(NovSun1+21)=CalendarYear,MONTH(NovSun1+21)=11),NovSun1+21, "")</f>
        <v>42330</v>
      </c>
      <c r="C9" s="6">
        <f>IF(AND(YEAR(NovSun1+22)=CalendarYear,MONTH(NovSun1+22)=11),NovSun1+22, "")</f>
        <v>42331</v>
      </c>
      <c r="D9" s="6">
        <f>IF(AND(YEAR(NovSun1+23)=CalendarYear,MONTH(NovSun1+23)=11),NovSun1+23, "")</f>
        <v>42332</v>
      </c>
      <c r="E9" s="6">
        <f>IF(AND(YEAR(NovSun1+24)=CalendarYear,MONTH(NovSun1+24)=11),NovSun1+24, "")</f>
        <v>42333</v>
      </c>
      <c r="F9" s="6">
        <f>IF(AND(YEAR(NovSun1+25)=CalendarYear,MONTH(NovSun1+25)=11),NovSun1+25, "")</f>
        <v>42334</v>
      </c>
      <c r="G9" s="6">
        <f>IF(AND(YEAR(NovSun1+26)=CalendarYear,MONTH(NovSun1+26)=11),NovSun1+26, "")</f>
        <v>42335</v>
      </c>
      <c r="H9" s="13">
        <f>IF(AND(YEAR(NovSun1+27)=CalendarYear,MONTH(NovSun1+27)=11),NovSun1+27, "")</f>
        <v>42336</v>
      </c>
    </row>
    <row r="10" spans="1:8" ht="57.95" customHeight="1">
      <c r="B10" s="29"/>
      <c r="C10" s="25"/>
      <c r="D10" s="26"/>
      <c r="E10" s="26"/>
      <c r="F10" s="26"/>
      <c r="G10" s="26"/>
      <c r="H10" s="30"/>
    </row>
    <row r="11" spans="1:8" ht="14.1" customHeight="1">
      <c r="B11" s="12">
        <f>IF(AND(YEAR(NovSun1+28)=CalendarYear,MONTH(NovSun1+28)=11),NovSun1+28, "")</f>
        <v>42337</v>
      </c>
      <c r="C11" s="6">
        <f>IF(AND(YEAR(NovSun1+29)=CalendarYear,MONTH(NovSun1+29)=11),NovSun1+29, "")</f>
        <v>42338</v>
      </c>
      <c r="D11" s="6" t="str">
        <f>IF(AND(YEAR(NovSun1+30)=CalendarYear,MONTH(NovSun1+30)=11),NovSun1+30, "")</f>
        <v/>
      </c>
      <c r="E11" s="6" t="str">
        <f>IF(AND(YEAR(NovSun1+31)=CalendarYear,MONTH(NovSun1+31)=11),NovSun1+31, "")</f>
        <v/>
      </c>
      <c r="F11" s="6" t="str">
        <f>IF(AND(YEAR(NovSun1+32)=CalendarYear,MONTH(NovSun1+32)=11),NovSun1+32, "")</f>
        <v/>
      </c>
      <c r="G11" s="6" t="str">
        <f>IF(AND(YEAR(NovSun1+33)=CalendarYear,MONTH(NovSun1+33)=11),NovSun1+33, "")</f>
        <v/>
      </c>
      <c r="H11" s="13" t="str">
        <f>IF(AND(YEAR(NovSun1+34)=CalendarYear,MONTH(NovSun1+34)=11),NovSun1+34, "")</f>
        <v/>
      </c>
    </row>
    <row r="12" spans="1:8" ht="57.95" customHeight="1">
      <c r="B12" s="29"/>
      <c r="C12" s="25"/>
      <c r="D12" s="26"/>
      <c r="E12" s="26"/>
      <c r="F12" s="25"/>
      <c r="G12" s="25"/>
      <c r="H12" s="30"/>
    </row>
    <row r="13" spans="1:8" ht="14.1" customHeight="1">
      <c r="B13" s="28" t="str">
        <f>IF(AND(YEAR(NovSun1+35)=CalendarYear,MONTH(NovSun1+35)=11),NovSun1+35, "")</f>
        <v/>
      </c>
      <c r="C13" s="54" t="s">
        <v>8</v>
      </c>
      <c r="D13" s="54"/>
      <c r="E13" s="54"/>
      <c r="F13" s="54"/>
      <c r="G13" s="54"/>
      <c r="H13" s="55"/>
    </row>
    <row r="14" spans="1:8" ht="57.95" customHeight="1" thickBot="1">
      <c r="B14" s="31"/>
      <c r="C14" s="43"/>
      <c r="D14" s="44"/>
      <c r="E14" s="44"/>
      <c r="F14" s="44"/>
      <c r="G14" s="44"/>
      <c r="H14" s="45"/>
    </row>
  </sheetData>
  <mergeCells count="3">
    <mergeCell ref="B1:H1"/>
    <mergeCell ref="C13:H13"/>
    <mergeCell ref="C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DATE(CalendarYear,12,1)</f>
        <v>42339</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IF(AND(YEAR(DecSun1)=CalendarYear,MONTH(DecSun1)=12),DecSun1, "")</f>
        <v/>
      </c>
      <c r="C3" s="5" t="str">
        <f>IF(AND(YEAR(DecSun1+1)=CalendarYear,MONTH(DecSun1+1)=12),DecSun1+1, "")</f>
        <v/>
      </c>
      <c r="D3" s="5">
        <f>IF(AND(YEAR(DecSun1+2)=CalendarYear,MONTH(DecSun1+2)=12),DecSun1+2, "")</f>
        <v>42339</v>
      </c>
      <c r="E3" s="5">
        <f>IF(AND(YEAR(DecSun1+3)=CalendarYear,MONTH(DecSun1+3)=12),DecSun1+3, "")</f>
        <v>42340</v>
      </c>
      <c r="F3" s="5">
        <f>IF(AND(YEAR(DecSun1+4)=CalendarYear,MONTH(DecSun1+4)=12),DecSun1+4, "")</f>
        <v>42341</v>
      </c>
      <c r="G3" s="5">
        <f>IF(AND(YEAR(DecSun1+5)=CalendarYear,MONTH(DecSun1+5)=12),DecSun1+5, "")</f>
        <v>42342</v>
      </c>
      <c r="H3" s="10">
        <f>IF(AND(YEAR(DecSun1+6)=CalendarYear,MONTH(DecSun1+6)=12),DecSun1+6, "")</f>
        <v>42343</v>
      </c>
    </row>
    <row r="4" spans="1:8" ht="57.95" customHeight="1">
      <c r="B4" s="29"/>
      <c r="C4" s="25"/>
      <c r="D4" s="26"/>
      <c r="E4" s="26"/>
      <c r="F4" s="26"/>
      <c r="G4" s="26"/>
      <c r="H4" s="30"/>
    </row>
    <row r="5" spans="1:8" ht="14.1" customHeight="1">
      <c r="B5" s="11">
        <f>IF(AND(YEAR(DecSun1+7)=CalendarYear,MONTH(DecSun1+7)=12),DecSun1+7, "")</f>
        <v>42344</v>
      </c>
      <c r="C5" s="5">
        <f>IF(AND(YEAR(DecSun1+8)=CalendarYear,MONTH(DecSun1+8)=12),DecSun1+8, "")</f>
        <v>42345</v>
      </c>
      <c r="D5" s="5">
        <f>IF(AND(YEAR(DecSun1+9)=CalendarYear,MONTH(DecSun1+9)=12),DecSun1+9, "")</f>
        <v>42346</v>
      </c>
      <c r="E5" s="5">
        <f>IF(AND(YEAR(DecSun1+10)=CalendarYear,MONTH(DecSun1+10)=12),DecSun1+10, "")</f>
        <v>42347</v>
      </c>
      <c r="F5" s="5">
        <f>IF(AND(YEAR(DecSun1+11)=CalendarYear,MONTH(DecSun1+11)=12),DecSun1+11, "")</f>
        <v>42348</v>
      </c>
      <c r="G5" s="5">
        <f>IF(AND(YEAR(DecSun1+12)=CalendarYear,MONTH(DecSun1+12)=12),DecSun1+12,"")</f>
        <v>42349</v>
      </c>
      <c r="H5" s="10">
        <f>IF(AND(YEAR(DecSun1+13)=CalendarYear,MONTH(DecSun1+13)=12),DecSun1+13, "")</f>
        <v>42350</v>
      </c>
    </row>
    <row r="6" spans="1:8" ht="57.95" customHeight="1">
      <c r="B6" s="29"/>
      <c r="C6" s="25"/>
      <c r="D6" s="26"/>
      <c r="E6" s="26"/>
      <c r="F6" s="26"/>
      <c r="G6" s="26"/>
      <c r="H6" s="30"/>
    </row>
    <row r="7" spans="1:8" ht="14.1" customHeight="1">
      <c r="B7" s="11">
        <f>IF(AND(YEAR(DecSun1+14)=CalendarYear,MONTH(DecSun1+14)=12),DecSun1+14, "")</f>
        <v>42351</v>
      </c>
      <c r="C7" s="5">
        <f>IF(AND(YEAR(DecSun1+15)=CalendarYear,MONTH(DecSun1+15)=12),DecSun1+15, "")</f>
        <v>42352</v>
      </c>
      <c r="D7" s="5">
        <f>IF(AND(YEAR(DecSun1+16)=CalendarYear,MONTH(DecSun1+16)=12),DecSun1+16, "")</f>
        <v>42353</v>
      </c>
      <c r="E7" s="5">
        <f>IF(AND(YEAR(DecSun1+17)=CalendarYear,MONTH(DecSun1+17)=12),DecSun1+17, "")</f>
        <v>42354</v>
      </c>
      <c r="F7" s="5">
        <f>IF(AND(YEAR(DecSun1+18)=CalendarYear,MONTH(DecSun1+18)=12),DecSun1+18, "")</f>
        <v>42355</v>
      </c>
      <c r="G7" s="5">
        <f>IF(AND(YEAR(DecSun1+19)=CalendarYear,MONTH(DecSun1+19)=12),DecSun1+19, "")</f>
        <v>42356</v>
      </c>
      <c r="H7" s="10">
        <f>IF(AND(YEAR(DecSun1+20)=CalendarYear,MONTH(DecSun1+20)=12),DecSun1+20, "")</f>
        <v>42357</v>
      </c>
    </row>
    <row r="8" spans="1:8" ht="57.95" customHeight="1">
      <c r="B8" s="29"/>
      <c r="C8" s="25"/>
      <c r="D8" s="26"/>
      <c r="E8" s="26"/>
      <c r="F8" s="26"/>
      <c r="G8" s="26"/>
      <c r="H8" s="30"/>
    </row>
    <row r="9" spans="1:8" ht="14.1" customHeight="1">
      <c r="B9" s="12">
        <f>IF(AND(YEAR(DecSun1+21)=CalendarYear,MONTH(DecSun1+21)=12),DecSun1+21, "")</f>
        <v>42358</v>
      </c>
      <c r="C9" s="6">
        <f>IF(AND(YEAR(DecSun1+22)=CalendarYear,MONTH(DecSun1+22)=12),DecSun1+22, "")</f>
        <v>42359</v>
      </c>
      <c r="D9" s="6">
        <f>IF(AND(YEAR(DecSun1+23)=CalendarYear,MONTH(DecSun1+23)=12),DecSun1+23, "")</f>
        <v>42360</v>
      </c>
      <c r="E9" s="6">
        <f>IF(AND(YEAR(DecSun1+24)=CalendarYear,MONTH(DecSun1+24)=12),DecSun1+24, "")</f>
        <v>42361</v>
      </c>
      <c r="F9" s="6">
        <f>IF(AND(YEAR(DecSun1+25)=CalendarYear,MONTH(DecSun1+25)=12),DecSun1+25, "")</f>
        <v>42362</v>
      </c>
      <c r="G9" s="6">
        <f>IF(AND(YEAR(DecSun1+26)=CalendarYear,MONTH(DecSun1+26)=12),DecSun1+26, "")</f>
        <v>42363</v>
      </c>
      <c r="H9" s="13">
        <f>IF(AND(YEAR(DecSun1+27)=CalendarYear,MONTH(DecSun1+27)=12),DecSun1+27, "")</f>
        <v>42364</v>
      </c>
    </row>
    <row r="10" spans="1:8" ht="57.95" customHeight="1">
      <c r="B10" s="29"/>
      <c r="C10" s="25"/>
      <c r="D10" s="26"/>
      <c r="E10" s="26"/>
      <c r="F10" s="26"/>
      <c r="G10" s="26"/>
      <c r="H10" s="30"/>
    </row>
    <row r="11" spans="1:8" ht="14.1" customHeight="1">
      <c r="B11" s="12">
        <f>IF(AND(YEAR(DecSun1+28)=CalendarYear,MONTH(DecSun1+28)=12),DecSun1+28, "")</f>
        <v>42365</v>
      </c>
      <c r="C11" s="6">
        <f>IF(AND(YEAR(DecSun1+29)=CalendarYear,MONTH(DecSun1+29)=12),DecSun1+29, "")</f>
        <v>42366</v>
      </c>
      <c r="D11" s="6">
        <f>IF(AND(YEAR(DecSun1+30)=CalendarYear,MONTH(DecSun1+30)=12),DecSun1+30, "")</f>
        <v>42367</v>
      </c>
      <c r="E11" s="6">
        <f>IF(AND(YEAR(DecSun1+31)=CalendarYear,MONTH(DecSun1+31)=12),DecSun1+31, "")</f>
        <v>42368</v>
      </c>
      <c r="F11" s="6">
        <f>IF(AND(YEAR(DecSun1+32)=CalendarYear,MONTH(DecSun1+32)=12),DecSun1+32, "")</f>
        <v>42369</v>
      </c>
      <c r="G11" s="6" t="str">
        <f>IF(AND(YEAR(DecSun1+33)=CalendarYear,MONTH(DecSun1+33)=12),DecSun1+33, "")</f>
        <v/>
      </c>
      <c r="H11" s="13" t="str">
        <f>IF(AND(YEAR(DecSun1+34)=CalendarYear,MONTH(DecSun1+34)=12),DecSun1+34, "")</f>
        <v/>
      </c>
    </row>
    <row r="12" spans="1:8" ht="57.95" customHeight="1">
      <c r="B12" s="29"/>
      <c r="C12" s="25"/>
      <c r="D12" s="26"/>
      <c r="E12" s="26"/>
      <c r="F12" s="25"/>
      <c r="G12" s="25"/>
      <c r="H12" s="30"/>
    </row>
    <row r="13" spans="1:8" ht="14.1" customHeight="1">
      <c r="B13" s="28" t="str">
        <f>IF(AND(YEAR(DecSun1+35)=CalendarYear,MONTH(DecSun1+35)=12),DecSun1+35, "")</f>
        <v/>
      </c>
      <c r="C13" s="24" t="str">
        <f>IF(AND(YEAR(DecSun1+36)=CalendarYear,MONTH(DecSun1+36)=12),DecSun1+36, "")</f>
        <v/>
      </c>
      <c r="D13" s="46" t="s">
        <v>8</v>
      </c>
      <c r="E13" s="46"/>
      <c r="F13" s="46"/>
      <c r="G13" s="46"/>
      <c r="H13" s="47"/>
    </row>
    <row r="14" spans="1:8" ht="57.95" customHeight="1" thickBot="1">
      <c r="B14" s="31"/>
      <c r="C14" s="27"/>
      <c r="D14" s="43"/>
      <c r="E14" s="44"/>
      <c r="F14" s="44"/>
      <c r="G14" s="44"/>
      <c r="H14" s="45"/>
    </row>
  </sheetData>
  <mergeCells count="3">
    <mergeCell ref="B1:H1"/>
    <mergeCell ref="D13:H13"/>
    <mergeCell ref="D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workbookViewId="0">
      <selection activeCell="G16" sqref="G16"/>
    </sheetView>
  </sheetViews>
  <sheetFormatPr defaultColWidth="8.75" defaultRowHeight="14.25"/>
  <cols>
    <col min="1" max="1" width="10.375" style="4" customWidth="1"/>
    <col min="2" max="2" width="9.625" style="4" customWidth="1"/>
    <col min="3" max="3" width="9.75" style="4" customWidth="1"/>
    <col min="4" max="16384" width="8.75" style="4"/>
  </cols>
  <sheetData>
    <row r="1" spans="1:3" ht="16.5">
      <c r="A1" s="21" t="s">
        <v>7</v>
      </c>
      <c r="B1" s="22"/>
    </row>
    <row r="2" spans="1:3" ht="16.5">
      <c r="A2" s="22">
        <v>2010</v>
      </c>
      <c r="B2" s="22"/>
    </row>
    <row r="3" spans="1:3" ht="16.5">
      <c r="A3" s="22">
        <v>2011</v>
      </c>
      <c r="B3" s="22"/>
    </row>
    <row r="4" spans="1:3" ht="16.5">
      <c r="A4" s="22">
        <v>2012</v>
      </c>
      <c r="B4" s="22"/>
    </row>
    <row r="5" spans="1:3" ht="16.5">
      <c r="A5" s="22">
        <v>2013</v>
      </c>
      <c r="B5" s="22"/>
    </row>
    <row r="6" spans="1:3" ht="16.5">
      <c r="A6" s="22">
        <v>2014</v>
      </c>
      <c r="B6" s="22"/>
    </row>
    <row r="7" spans="1:3" ht="16.5">
      <c r="A7" s="22">
        <v>2015</v>
      </c>
      <c r="B7" s="22"/>
    </row>
    <row r="8" spans="1:3" ht="16.5">
      <c r="A8" s="23">
        <v>2016</v>
      </c>
      <c r="B8" s="22"/>
    </row>
    <row r="9" spans="1:3" ht="16.5">
      <c r="A9" s="23">
        <v>2017</v>
      </c>
      <c r="B9" s="22"/>
    </row>
    <row r="10" spans="1:3" ht="16.5">
      <c r="A10" s="23"/>
      <c r="B10" s="22"/>
    </row>
    <row r="11" spans="1:3" ht="16.5">
      <c r="A11" s="22"/>
      <c r="B11" s="22"/>
    </row>
    <row r="12" spans="1:3" ht="16.5">
      <c r="A12" s="22"/>
      <c r="B12" s="22"/>
    </row>
  </sheetData>
  <phoneticPr fontId="1" type="noConversion"/>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DATE(CalendarYear,2,1)</f>
        <v>42036</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f>IF(AND(YEAR(FebSun1)=CalendarYear,MONTH(FebSun1)=2),FebSun1, "")</f>
        <v>42036</v>
      </c>
      <c r="C3" s="5">
        <f>IF(AND(YEAR(FebSun1+1)=CalendarYear,MONTH(FebSun1+1)=2),FebSun1+1, "")</f>
        <v>42037</v>
      </c>
      <c r="D3" s="5">
        <f>IF(AND(YEAR(FebSun1+2)=CalendarYear,MONTH(FebSun1+2)=2),FebSun1+2, "")</f>
        <v>42038</v>
      </c>
      <c r="E3" s="5">
        <f>IF(AND(YEAR(FebSun1+3)=CalendarYear,MONTH(FebSun1+3)=2),FebSun1+3, "")</f>
        <v>42039</v>
      </c>
      <c r="F3" s="5">
        <f>IF(AND(YEAR(FebSun1+4)=CalendarYear,MONTH(FebSun1+4)=2),FebSun1+4, "")</f>
        <v>42040</v>
      </c>
      <c r="G3" s="5">
        <f>IF(AND(YEAR(FebSun1+5)=CalendarYear,MONTH(FebSun1+5)=2),FebSun1+5, "")</f>
        <v>42041</v>
      </c>
      <c r="H3" s="10">
        <f>IF(AND(YEAR(FebSun1+6)=CalendarYear,MONTH(FebSun1+6)=2),FebSun1+6, "")</f>
        <v>42042</v>
      </c>
    </row>
    <row r="4" spans="1:8" ht="57.95" customHeight="1">
      <c r="B4" s="29"/>
      <c r="C4" s="25"/>
      <c r="D4" s="26"/>
      <c r="E4" s="26"/>
      <c r="F4" s="26"/>
      <c r="G4" s="26"/>
      <c r="H4" s="30"/>
    </row>
    <row r="5" spans="1:8" ht="14.1" customHeight="1">
      <c r="B5" s="11">
        <f>IF(AND(YEAR(FebSun1+7)=CalendarYear,MONTH(FebSun1+7)=2),FebSun1+7, "")</f>
        <v>42043</v>
      </c>
      <c r="C5" s="5">
        <f>IF(AND(YEAR(FebSun1+8)=CalendarYear,MONTH(FebSun1+8)=2),FebSun1+8, "")</f>
        <v>42044</v>
      </c>
      <c r="D5" s="5">
        <f>IF(AND(YEAR(FebSun1+9)=CalendarYear,MONTH(FebSun1+9)=2),FebSun1+9, "")</f>
        <v>42045</v>
      </c>
      <c r="E5" s="5">
        <f>IF(AND(YEAR(FebSun1+10)=CalendarYear,MONTH(FebSun1+10)=2),FebSun1+10, "")</f>
        <v>42046</v>
      </c>
      <c r="F5" s="5">
        <f>IF(AND(YEAR(FebSun1+11)=CalendarYear,MONTH(FebSun1+11)=2),FebSun1+11, "")</f>
        <v>42047</v>
      </c>
      <c r="G5" s="5">
        <f>IF(AND(YEAR(FebSun1+12)=CalendarYear,MONTH(FebSun1+12)=2),FebSun1+12,"")</f>
        <v>42048</v>
      </c>
      <c r="H5" s="10">
        <f>IF(AND(YEAR(FebSun1+13)=CalendarYear,MONTH(FebSun1+13)=2),FebSun1+13, "")</f>
        <v>42049</v>
      </c>
    </row>
    <row r="6" spans="1:8" ht="57.95" customHeight="1">
      <c r="B6" s="29"/>
      <c r="C6" s="25"/>
      <c r="D6" s="26"/>
      <c r="E6" s="26"/>
      <c r="F6" s="26"/>
      <c r="G6" s="26"/>
      <c r="H6" s="30"/>
    </row>
    <row r="7" spans="1:8" ht="14.1" customHeight="1">
      <c r="B7" s="11">
        <f>IF(AND(YEAR(FebSun1+14)=CalendarYear,MONTH(FebSun1+14)=2),FebSun1+14, "")</f>
        <v>42050</v>
      </c>
      <c r="C7" s="5">
        <f>IF(AND(YEAR(FebSun1+15)=CalendarYear,MONTH(FebSun1+15)=2),FebSun1+15, "")</f>
        <v>42051</v>
      </c>
      <c r="D7" s="5">
        <f>IF(AND(YEAR(FebSun1+16)=CalendarYear,MONTH(FebSun1+16)=2),FebSun1+16, "")</f>
        <v>42052</v>
      </c>
      <c r="E7" s="5">
        <f>IF(AND(YEAR(FebSun1+17)=CalendarYear,MONTH(FebSun1+17)=2),FebSun1+17, "")</f>
        <v>42053</v>
      </c>
      <c r="F7" s="5">
        <f>IF(AND(YEAR(FebSun1+18)=CalendarYear,MONTH(FebSun1+18)=2),FebSun1+18, "")</f>
        <v>42054</v>
      </c>
      <c r="G7" s="5">
        <f>IF(AND(YEAR(FebSun1+19)=CalendarYear,MONTH(FebSun1+19)=2),FebSun1+19, "")</f>
        <v>42055</v>
      </c>
      <c r="H7" s="10">
        <f>IF(AND(YEAR(FebSun1+20)=CalendarYear,MONTH(FebSun1+20)=2),FebSun1+20, "")</f>
        <v>42056</v>
      </c>
    </row>
    <row r="8" spans="1:8" ht="57.95" customHeight="1">
      <c r="B8" s="29"/>
      <c r="C8" s="25"/>
      <c r="D8" s="26"/>
      <c r="E8" s="26"/>
      <c r="F8" s="26"/>
      <c r="G8" s="26"/>
      <c r="H8" s="30"/>
    </row>
    <row r="9" spans="1:8" ht="14.1" customHeight="1">
      <c r="B9" s="12">
        <f>IF(AND(YEAR(FebSun1+21)=CalendarYear,MONTH(FebSun1+21)=2),FebSun1+21, "")</f>
        <v>42057</v>
      </c>
      <c r="C9" s="6">
        <f>IF(AND(YEAR(FebSun1+22)=CalendarYear,MONTH(FebSun1+22)=2),FebSun1+22, "")</f>
        <v>42058</v>
      </c>
      <c r="D9" s="6">
        <f>IF(AND(YEAR(FebSun1+23)=CalendarYear,MONTH(FebSun1+23)=2),FebSun1+23, "")</f>
        <v>42059</v>
      </c>
      <c r="E9" s="6">
        <f>IF(AND(YEAR(FebSun1+24)=CalendarYear,MONTH(FebSun1+24)=2),FebSun1+24, "")</f>
        <v>42060</v>
      </c>
      <c r="F9" s="6">
        <f>IF(AND(YEAR(FebSun1+25)=CalendarYear,MONTH(FebSun1+25)=2),FebSun1+25, "")</f>
        <v>42061</v>
      </c>
      <c r="G9" s="6">
        <f>IF(AND(YEAR(FebSun1+26)=CalendarYear,MONTH(FebSun1+26)=2),FebSun1+26, "")</f>
        <v>42062</v>
      </c>
      <c r="H9" s="13">
        <f>IF(AND(YEAR(FebSun1+27)=CalendarYear,MONTH(FebSun1+27)=2),FebSun1+27, "")</f>
        <v>42063</v>
      </c>
    </row>
    <row r="10" spans="1:8" ht="57.95" customHeight="1">
      <c r="B10" s="29"/>
      <c r="C10" s="25"/>
      <c r="D10" s="26"/>
      <c r="E10" s="26"/>
      <c r="F10" s="26"/>
      <c r="G10" s="26"/>
      <c r="H10" s="30"/>
    </row>
    <row r="11" spans="1:8" ht="14.1" customHeight="1">
      <c r="B11" s="12" t="str">
        <f>IF(AND(YEAR(FebSun1+28)=CalendarYear,MONTH(FebSun1+28)=2),FebSun1+28, "")</f>
        <v/>
      </c>
      <c r="C11" s="6" t="str">
        <f>IF(AND(YEAR(FebSun1+29)=CalendarYear,MONTH(FebSun1+29)=2),FebSun1+29, "")</f>
        <v/>
      </c>
      <c r="D11" s="6" t="str">
        <f>IF(AND(YEAR(FebSun1+30)=CalendarYear,MONTH(FebSun1+30)=2),FebSun1+30, "")</f>
        <v/>
      </c>
      <c r="E11" s="6" t="str">
        <f>IF(AND(YEAR(FebSun1+31)=CalendarYear,MONTH(FebSun1+31)=2),FebSun1+31, "")</f>
        <v/>
      </c>
      <c r="F11" s="6" t="str">
        <f>IF(AND(YEAR(FebSun1+32)=CalendarYear,MONTH(FebSun1+32)=2),FebSun1+32, "")</f>
        <v/>
      </c>
      <c r="G11" s="6" t="str">
        <f>IF(AND(YEAR(FebSun1+33)=CalendarYear,MONTH(FebSun1+33)=2),FebSun1+33, "")</f>
        <v/>
      </c>
      <c r="H11" s="13" t="str">
        <f>IF(AND(YEAR(FebSun1+34)=CalendarYear,MONTH(FebSun1+34)=2),FebSun1+34, "")</f>
        <v/>
      </c>
    </row>
    <row r="12" spans="1:8" ht="57.95" customHeight="1">
      <c r="B12" s="29"/>
      <c r="C12" s="25"/>
      <c r="D12" s="26"/>
      <c r="E12" s="26"/>
      <c r="F12" s="25"/>
      <c r="G12" s="25"/>
      <c r="H12" s="30"/>
    </row>
    <row r="13" spans="1:8" ht="14.1" customHeight="1">
      <c r="B13" s="49" t="s">
        <v>8</v>
      </c>
      <c r="C13" s="50"/>
      <c r="D13" s="50"/>
      <c r="E13" s="50"/>
      <c r="F13" s="50"/>
      <c r="G13" s="50"/>
      <c r="H13" s="51"/>
    </row>
    <row r="14" spans="1:8" ht="57.95" customHeight="1" thickBot="1">
      <c r="B14" s="48"/>
      <c r="C14" s="44"/>
      <c r="D14" s="44"/>
      <c r="E14" s="44"/>
      <c r="F14" s="44"/>
      <c r="G14" s="44"/>
      <c r="H14" s="45"/>
    </row>
  </sheetData>
  <mergeCells count="3">
    <mergeCell ref="B1:H1"/>
    <mergeCell ref="B14:H14"/>
    <mergeCell ref="B13:H13"/>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topLeftCell="A5" workbookViewId="0">
      <selection activeCell="D14" sqref="D14:H14"/>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DATE(CalendarYear,3,1)</f>
        <v>42064</v>
      </c>
      <c r="C1" s="42"/>
      <c r="D1" s="42"/>
      <c r="E1" s="42"/>
      <c r="F1" s="42"/>
      <c r="G1" s="42"/>
      <c r="H1" s="42"/>
    </row>
    <row r="2" spans="1:8" s="3" customFormat="1" ht="21.75" customHeight="1">
      <c r="A2" s="2"/>
      <c r="B2" s="15" t="s">
        <v>0</v>
      </c>
      <c r="C2" s="16" t="s">
        <v>1</v>
      </c>
      <c r="D2" s="16" t="s">
        <v>2</v>
      </c>
      <c r="E2" s="16" t="s">
        <v>3</v>
      </c>
      <c r="F2" s="16" t="s">
        <v>4</v>
      </c>
      <c r="G2" s="16" t="s">
        <v>5</v>
      </c>
      <c r="H2" s="17" t="s">
        <v>6</v>
      </c>
    </row>
    <row r="3" spans="1:8" ht="14.1" customHeight="1">
      <c r="B3" s="9">
        <f>IF(AND(YEAR(MarSun1)=CalendarYear,MONTH(MarSun1)=3),MarSun1, "")</f>
        <v>42064</v>
      </c>
      <c r="C3" s="5">
        <f>IF(AND(YEAR(MarSun1+1)=CalendarYear,MONTH(MarSun1+1)=3),MarSun1+1, "")</f>
        <v>42065</v>
      </c>
      <c r="D3" s="5">
        <f>IF(AND(YEAR(MarSun1+2)=CalendarYear,MONTH(MarSun1+2)=3),MarSun1+2, "")</f>
        <v>42066</v>
      </c>
      <c r="E3" s="5">
        <f>IF(AND(YEAR(MarSun1+3)=CalendarYear,MONTH(MarSun1+3)=3),MarSun1+3, "")</f>
        <v>42067</v>
      </c>
      <c r="F3" s="5">
        <f>IF(AND(YEAR(MarSun1+4)=CalendarYear,MONTH(MarSun1+4)=3),MarSun1+4, "")</f>
        <v>42068</v>
      </c>
      <c r="G3" s="5">
        <f>IF(AND(YEAR(MarSun1+5)=CalendarYear,MONTH(MarSun1+5)=3),MarSun1+5, "")</f>
        <v>42069</v>
      </c>
      <c r="H3" s="10">
        <f>IF(AND(YEAR(MarSun1+6)=CalendarYear,MONTH(MarSun1+6)=3),MarSun1+6, "")</f>
        <v>42070</v>
      </c>
    </row>
    <row r="4" spans="1:8" ht="57.95" customHeight="1">
      <c r="B4" s="29"/>
      <c r="C4" s="25"/>
      <c r="D4" s="26"/>
      <c r="E4" s="26"/>
      <c r="F4" s="26"/>
      <c r="G4" s="26"/>
      <c r="H4" s="30"/>
    </row>
    <row r="5" spans="1:8" ht="14.1" customHeight="1">
      <c r="B5" s="11">
        <f>IF(AND(YEAR(MarSun1+7)=CalendarYear,MONTH(MarSun1+7)=3),MarSun1+7, "")</f>
        <v>42071</v>
      </c>
      <c r="C5" s="5">
        <f>IF(AND(YEAR(MarSun1+8)=CalendarYear,MONTH(MarSun1+8)=3),MarSun1+8, "")</f>
        <v>42072</v>
      </c>
      <c r="D5" s="5">
        <f>IF(AND(YEAR(MarSun1+9)=CalendarYear,MONTH(MarSun1+9)=3),MarSun1+9, "")</f>
        <v>42073</v>
      </c>
      <c r="E5" s="5">
        <f>IF(AND(YEAR(MarSun1+10)=CalendarYear,MONTH(MarSun1+10)=3),MarSun1+10, "")</f>
        <v>42074</v>
      </c>
      <c r="F5" s="5">
        <f>IF(AND(YEAR(MarSun1+11)=CalendarYear,MONTH(MarSun1+11)=3),MarSun1+11, "")</f>
        <v>42075</v>
      </c>
      <c r="G5" s="5">
        <f>IF(AND(YEAR(MarSun1+12)=CalendarYear,MONTH(MarSun1+12)=3),MarSun1+12,"")</f>
        <v>42076</v>
      </c>
      <c r="H5" s="10">
        <f>IF(AND(YEAR(MarSun1+13)=CalendarYear,MONTH(MarSun1+13)=3),MarSun1+13, "")</f>
        <v>42077</v>
      </c>
    </row>
    <row r="6" spans="1:8" ht="57.95" customHeight="1">
      <c r="B6" s="29"/>
      <c r="C6" s="25"/>
      <c r="D6" s="26"/>
      <c r="E6" s="26"/>
      <c r="F6" s="26"/>
      <c r="G6" s="26"/>
      <c r="H6" s="30"/>
    </row>
    <row r="7" spans="1:8" ht="14.1" customHeight="1">
      <c r="B7" s="11">
        <f>IF(AND(YEAR(MarSun1+14)=CalendarYear,MONTH(MarSun1+14)=3),MarSun1+14, "")</f>
        <v>42078</v>
      </c>
      <c r="C7" s="5">
        <f>IF(AND(YEAR(MarSun1+15)=CalendarYear,MONTH(MarSun1+15)=3),MarSun1+15, "")</f>
        <v>42079</v>
      </c>
      <c r="D7" s="5">
        <f>IF(AND(YEAR(MarSun1+16)=CalendarYear,MONTH(MarSun1+16)=3),MarSun1+16, "")</f>
        <v>42080</v>
      </c>
      <c r="E7" s="5">
        <f>IF(AND(YEAR(MarSun1+17)=CalendarYear,MONTH(MarSun1+17)=3),MarSun1+17, "")</f>
        <v>42081</v>
      </c>
      <c r="F7" s="5">
        <f>IF(AND(YEAR(MarSun1+18)=CalendarYear,MONTH(MarSun1+18)=3),MarSun1+18, "")</f>
        <v>42082</v>
      </c>
      <c r="G7" s="5">
        <f>IF(AND(YEAR(MarSun1+19)=CalendarYear,MONTH(MarSun1+19)=3),MarSun1+19, "")</f>
        <v>42083</v>
      </c>
      <c r="H7" s="10">
        <f>IF(AND(YEAR(MarSun1+20)=CalendarYear,MONTH(MarSun1+20)=3),MarSun1+20, "")</f>
        <v>42084</v>
      </c>
    </row>
    <row r="8" spans="1:8" ht="57.95" customHeight="1">
      <c r="B8" s="29"/>
      <c r="C8" s="25"/>
      <c r="D8" s="26"/>
      <c r="E8" s="26"/>
      <c r="F8" s="26"/>
      <c r="G8" s="26"/>
      <c r="H8" s="30"/>
    </row>
    <row r="9" spans="1:8" ht="14.1" customHeight="1">
      <c r="B9" s="12">
        <f>IF(AND(YEAR(MarSun1+21)=CalendarYear,MONTH(MarSun1+21)=3),MarSun1+21, "")</f>
        <v>42085</v>
      </c>
      <c r="C9" s="6">
        <f>IF(AND(YEAR(MarSun1+22)=CalendarYear,MONTH(MarSun1+22)=3),MarSun1+22, "")</f>
        <v>42086</v>
      </c>
      <c r="D9" s="6">
        <f>IF(AND(YEAR(MarSun1+23)=CalendarYear,MONTH(MarSun1+23)=3),MarSun1+23, "")</f>
        <v>42087</v>
      </c>
      <c r="E9" s="6">
        <f>IF(AND(YEAR(MarSun1+24)=CalendarYear,MONTH(MarSun1+24)=3),MarSun1+24, "")</f>
        <v>42088</v>
      </c>
      <c r="F9" s="6">
        <f>IF(AND(YEAR(MarSun1+25)=CalendarYear,MONTH(MarSun1+25)=3),MarSun1+25, "")</f>
        <v>42089</v>
      </c>
      <c r="G9" s="6">
        <f>IF(AND(YEAR(MarSun1+26)=CalendarYear,MONTH(MarSun1+26)=3),MarSun1+26, "")</f>
        <v>42090</v>
      </c>
      <c r="H9" s="13">
        <f>IF(AND(YEAR(MarSun1+27)=CalendarYear,MONTH(MarSun1+27)=3),MarSun1+27, "")</f>
        <v>42091</v>
      </c>
    </row>
    <row r="10" spans="1:8" ht="57.95" customHeight="1">
      <c r="B10" s="29"/>
      <c r="C10" s="25"/>
      <c r="D10" s="26"/>
      <c r="F10" s="26"/>
      <c r="G10" s="26"/>
      <c r="H10" s="30"/>
    </row>
    <row r="11" spans="1:8" ht="14.1" customHeight="1">
      <c r="B11" s="12">
        <f>IF(AND(YEAR(MarSun1+28)=CalendarYear,MONTH(MarSun1+28)=3),MarSun1+28, "")</f>
        <v>42092</v>
      </c>
      <c r="C11" s="6">
        <f>IF(AND(YEAR(MarSun1+29)=CalendarYear,MONTH(MarSun1+29)=3),MarSun1+29, "")</f>
        <v>42093</v>
      </c>
      <c r="D11" s="6">
        <f>IF(AND(YEAR(MarSun1+30)=CalendarYear,MONTH(MarSun1+30)=3),MarSun1+30, "")</f>
        <v>42094</v>
      </c>
      <c r="E11" s="6" t="str">
        <f>IF(AND(YEAR(MarSun1+31)=CalendarYear,MONTH(MarSun1+31)=3),MarSun1+31, "")</f>
        <v/>
      </c>
      <c r="F11" s="6" t="str">
        <f>IF(AND(YEAR(MarSun1+32)=CalendarYear,MONTH(MarSun1+32)=3),MarSun1+32, "")</f>
        <v/>
      </c>
      <c r="G11" s="6" t="str">
        <f>IF(AND(YEAR(MarSun1+33)=CalendarYear,MONTH(MarSun1+33)=3),MarSun1+33, "")</f>
        <v/>
      </c>
      <c r="H11" s="13" t="str">
        <f>IF(AND(YEAR(MarSun1+34)=CalendarYear,MONTH(MarSun1+34)=3),MarSun1+34, "")</f>
        <v/>
      </c>
    </row>
    <row r="12" spans="1:8" ht="57.95" customHeight="1">
      <c r="B12" s="29"/>
      <c r="D12" s="37"/>
      <c r="E12" s="26"/>
      <c r="G12" s="25"/>
      <c r="H12" s="30"/>
    </row>
    <row r="13" spans="1:8" ht="14.1" customHeight="1">
      <c r="B13" s="12" t="str">
        <f>IF(AND(YEAR(MarSun1+35)=CalendarYear,MONTH(MarSun1+35)=3),MarSun1+35, "")</f>
        <v/>
      </c>
      <c r="C13" s="6" t="str">
        <f>IF(AND(YEAR(MarSun1+36)=CalendarYear,MONTH(MarSun1+36)=3),MarSun1+36, "")</f>
        <v/>
      </c>
      <c r="D13" s="46" t="s">
        <v>8</v>
      </c>
      <c r="E13" s="46"/>
      <c r="F13" s="46"/>
      <c r="G13" s="46"/>
      <c r="H13" s="47"/>
    </row>
    <row r="14" spans="1:8" ht="57.95" customHeight="1" thickBot="1">
      <c r="B14" s="32"/>
      <c r="C14" s="14"/>
      <c r="D14" s="43"/>
      <c r="E14" s="44"/>
      <c r="F14" s="44"/>
      <c r="G14" s="44"/>
      <c r="H14" s="45"/>
    </row>
  </sheetData>
  <mergeCells count="3">
    <mergeCell ref="B1:H1"/>
    <mergeCell ref="D14:H14"/>
    <mergeCell ref="D13:H13"/>
  </mergeCells>
  <phoneticPr fontId="1" type="noConversion"/>
  <printOptions horizontalCentered="1"/>
  <pageMargins left="0.5" right="0.5" top="0.75" bottom="0.75" header="0.5" footer="0.5"/>
  <pageSetup scale="81" orientation="landscape" horizontalDpi="4294967292" verticalDpi="4294967292"/>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topLeftCell="A8" workbookViewId="0">
      <selection activeCell="K8" sqref="K8"/>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DATE(CalendarYear,4,1)</f>
        <v>42095</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IF(AND(YEAR(AprSun1)=CalendarYear,MONTH(AprSun1)=4),AprSun1, "")</f>
        <v/>
      </c>
      <c r="C3" s="5" t="str">
        <f>IF(AND(YEAR(AprSun1+1)=CalendarYear,MONTH(AprSun1+1)=4),AprSun1+1, "")</f>
        <v/>
      </c>
      <c r="D3" s="5" t="str">
        <f>IF(AND(YEAR(AprSun1+2)=CalendarYear,MONTH(AprSun1+2)=4),AprSun1+2, "")</f>
        <v/>
      </c>
      <c r="E3" s="5">
        <f>IF(AND(YEAR(AprSun1+3)=CalendarYear,MONTH(AprSun1+3)=4),AprSun1+3, "")</f>
        <v>42095</v>
      </c>
      <c r="F3" s="5">
        <f>IF(AND(YEAR(AprSun1+4)=CalendarYear,MONTH(AprSun1+4)=4),AprSun1+4, "")</f>
        <v>42096</v>
      </c>
      <c r="G3" s="5">
        <f>IF(AND(YEAR(AprSun1+5)=CalendarYear,MONTH(AprSun1+5)=4),AprSun1+5, "")</f>
        <v>42097</v>
      </c>
      <c r="H3" s="10">
        <f>IF(AND(YEAR(AprSun1+6)=CalendarYear,MONTH(AprSun1+6)=4),AprSun1+6, "")</f>
        <v>42098</v>
      </c>
    </row>
    <row r="4" spans="1:8" ht="57.95" customHeight="1">
      <c r="B4" s="29"/>
      <c r="C4" s="25"/>
      <c r="D4" s="26"/>
      <c r="E4" s="26"/>
      <c r="G4" s="25"/>
      <c r="H4" s="30"/>
    </row>
    <row r="5" spans="1:8" ht="14.1" customHeight="1">
      <c r="B5" s="11">
        <f>IF(AND(YEAR(AprSun1+7)=CalendarYear,MONTH(AprSun1+7)=4),AprSun1+7, "")</f>
        <v>42099</v>
      </c>
      <c r="C5" s="5">
        <f>IF(AND(YEAR(AprSun1+8)=CalendarYear,MONTH(AprSun1+8)=4),AprSun1+8, "")</f>
        <v>42100</v>
      </c>
      <c r="D5" s="5">
        <f>IF(AND(YEAR(AprSun1+9)=CalendarYear,MONTH(AprSun1+9)=4),AprSun1+9, "")</f>
        <v>42101</v>
      </c>
      <c r="E5" s="5">
        <f>IF(AND(YEAR(AprSun1+10)=CalendarYear,MONTH(AprSun1+10)=4),AprSun1+10, "")</f>
        <v>42102</v>
      </c>
      <c r="F5" s="5">
        <f>IF(AND(YEAR(AprSun1+11)=CalendarYear,MONTH(AprSun1+11)=4),AprSun1+11, "")</f>
        <v>42103</v>
      </c>
      <c r="G5" s="5">
        <f>IF(AND(YEAR(AprSun1+12)=CalendarYear,MONTH(AprSun1+12)=4),AprSun1+12,"")</f>
        <v>42104</v>
      </c>
      <c r="H5" s="10">
        <f>IF(AND(YEAR(AprSun1+13)=CalendarYear,MONTH(AprSun1+13)=4),AprSun1+13, "")</f>
        <v>42105</v>
      </c>
    </row>
    <row r="6" spans="1:8" ht="57.95" customHeight="1">
      <c r="B6" s="29"/>
      <c r="C6" s="35"/>
      <c r="E6" s="34"/>
      <c r="F6" s="26"/>
      <c r="G6" s="37"/>
      <c r="H6" s="30"/>
    </row>
    <row r="7" spans="1:8" ht="14.1" customHeight="1">
      <c r="B7" s="11">
        <f>IF(AND(YEAR(AprSun1+14)=CalendarYear,MONTH(AprSun1+14)=4),AprSun1+14, "")</f>
        <v>42106</v>
      </c>
      <c r="C7" s="5">
        <f>IF(AND(YEAR(AprSun1+15)=CalendarYear,MONTH(AprSun1+15)=4),AprSun1+15, "")</f>
        <v>42107</v>
      </c>
      <c r="D7" s="5">
        <f>IF(AND(YEAR(AprSun1+16)=CalendarYear,MONTH(AprSun1+16)=4),AprSun1+16, "")</f>
        <v>42108</v>
      </c>
      <c r="E7" s="5">
        <f>IF(AND(YEAR(AprSun1+17)=CalendarYear,MONTH(AprSun1+17)=4),AprSun1+17, "")</f>
        <v>42109</v>
      </c>
      <c r="F7" s="5">
        <f>IF(AND(YEAR(AprSun1+18)=CalendarYear,MONTH(AprSun1+18)=4),AprSun1+18, "")</f>
        <v>42110</v>
      </c>
      <c r="G7" s="5">
        <f>IF(AND(YEAR(AprSun1+19)=CalendarYear,MONTH(AprSun1+19)=4),AprSun1+19, "")</f>
        <v>42111</v>
      </c>
      <c r="H7" s="10">
        <f>IF(AND(YEAR(AprSun1+20)=CalendarYear,MONTH(AprSun1+20)=4),AprSun1+20, "")</f>
        <v>42112</v>
      </c>
    </row>
    <row r="8" spans="1:8" ht="57.95" customHeight="1">
      <c r="B8" s="29"/>
      <c r="C8" s="26" t="s">
        <v>16</v>
      </c>
      <c r="D8" s="26" t="s">
        <v>17</v>
      </c>
      <c r="E8" s="25"/>
      <c r="F8" s="26"/>
      <c r="G8" s="26" t="s">
        <v>18</v>
      </c>
      <c r="H8" s="30"/>
    </row>
    <row r="9" spans="1:8" ht="14.1" customHeight="1">
      <c r="B9" s="12">
        <f>IF(AND(YEAR(AprSun1+21)=CalendarYear,MONTH(AprSun1+21)=4),AprSun1+21, "")</f>
        <v>42113</v>
      </c>
      <c r="C9" s="6">
        <f>IF(AND(YEAR(AprSun1+22)=CalendarYear,MONTH(AprSun1+22)=4),AprSun1+22, "")</f>
        <v>42114</v>
      </c>
      <c r="D9" s="6">
        <f>IF(AND(YEAR(AprSun1+23)=CalendarYear,MONTH(AprSun1+23)=4),AprSun1+23, "")</f>
        <v>42115</v>
      </c>
      <c r="E9" s="6">
        <f>IF(AND(YEAR(AprSun1+24)=CalendarYear,MONTH(AprSun1+24)=4),AprSun1+24, "")</f>
        <v>42116</v>
      </c>
      <c r="F9" s="6">
        <v>23</v>
      </c>
      <c r="G9" s="6">
        <f>IF(AND(YEAR(AprSun1+26)=CalendarYear,MONTH(AprSun1+26)=4),AprSun1+26, "")</f>
        <v>42118</v>
      </c>
      <c r="H9" s="13">
        <f>IF(AND(YEAR(AprSun1+27)=CalendarYear,MONTH(AprSun1+27)=4),AprSun1+27, "")</f>
        <v>42119</v>
      </c>
    </row>
    <row r="10" spans="1:8" ht="57.95" customHeight="1">
      <c r="B10" s="29"/>
      <c r="C10" s="25"/>
      <c r="D10" s="26" t="s">
        <v>28</v>
      </c>
      <c r="E10" s="26"/>
      <c r="F10" s="26" t="s">
        <v>19</v>
      </c>
      <c r="H10" s="30"/>
    </row>
    <row r="11" spans="1:8" ht="14.1" customHeight="1">
      <c r="B11" s="12">
        <f>IF(AND(YEAR(AprSun1+28)=CalendarYear,MONTH(AprSun1+28)=4),AprSun1+28, "")</f>
        <v>42120</v>
      </c>
      <c r="C11" s="6">
        <f>IF(AND(YEAR(AprSun1+29)=CalendarYear,MONTH(AprSun1+29)=4),AprSun1+29, "")</f>
        <v>42121</v>
      </c>
      <c r="D11" s="6">
        <v>30</v>
      </c>
      <c r="E11" s="6">
        <f>IF(AND(YEAR(AprSun1+31)=CalendarYear,MONTH(AprSun1+31)=4),AprSun1+31, "")</f>
        <v>42123</v>
      </c>
      <c r="F11" s="6">
        <f>IF(AND(YEAR(AprSun1+32)=CalendarYear,MONTH(AprSun1+32)=4),AprSun1+32, "")</f>
        <v>42124</v>
      </c>
      <c r="G11" s="6" t="str">
        <f>IF(AND(YEAR(AprSun1+33)=CalendarYear,MONTH(AprSun1+33)=4),AprSun1+33, "")</f>
        <v/>
      </c>
      <c r="H11" s="13" t="str">
        <f>IF(AND(YEAR(AprSun1+34)=CalendarYear,MONTH(AprSun1+34)=4),AprSun1+34, "")</f>
        <v/>
      </c>
    </row>
    <row r="12" spans="1:8" ht="57.95" customHeight="1">
      <c r="B12" s="29"/>
      <c r="C12" s="40" t="s">
        <v>20</v>
      </c>
      <c r="D12" s="26"/>
      <c r="E12" s="41" t="s">
        <v>21</v>
      </c>
      <c r="F12" s="26" t="s">
        <v>22</v>
      </c>
      <c r="G12" s="25"/>
      <c r="H12" s="30"/>
    </row>
    <row r="13" spans="1:8" ht="14.1" customHeight="1">
      <c r="B13" s="12" t="str">
        <f>IF(AND(YEAR(AprSun1+35)=CalendarYear,MONTH(AprSun1+35)=4),AprSun1+35, "")</f>
        <v/>
      </c>
      <c r="C13" s="46" t="s">
        <v>9</v>
      </c>
      <c r="D13" s="46"/>
      <c r="E13" s="46"/>
      <c r="F13" s="46"/>
      <c r="G13" s="46"/>
      <c r="H13" s="47"/>
    </row>
    <row r="14" spans="1:8" ht="57.95" customHeight="1" thickBot="1">
      <c r="B14" s="31"/>
      <c r="C14" s="43" t="s">
        <v>15</v>
      </c>
      <c r="D14" s="44"/>
      <c r="E14" s="44"/>
      <c r="F14" s="44"/>
      <c r="G14" s="44"/>
      <c r="H14" s="45"/>
    </row>
  </sheetData>
  <mergeCells count="3">
    <mergeCell ref="B1:H1"/>
    <mergeCell ref="C13:H13"/>
    <mergeCell ref="C14:H14"/>
  </mergeCells>
  <phoneticPr fontId="1" type="noConversion"/>
  <printOptions horizontalCentered="1"/>
  <pageMargins left="0.5" right="0.5" top="0.75" bottom="0.75" header="0.5" footer="0.5"/>
  <pageSetup scale="87" orientation="landscape"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tabSelected="1" workbookViewId="0">
      <selection activeCell="D17" sqref="D17"/>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DATE(CalendarYear,5,1)</f>
        <v>42125</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IF(AND(YEAR(MaySun1)=CalendarYear,MONTH(MaySun1)=5),MaySun1, "")</f>
        <v/>
      </c>
      <c r="C3" s="5" t="str">
        <f>IF(AND(YEAR(MaySun1+1)=CalendarYear,MONTH(MaySun1+1)=5),MaySun1+1, "")</f>
        <v/>
      </c>
      <c r="D3" s="5" t="str">
        <f>IF(AND(YEAR(MaySun1+2)=CalendarYear,MONTH(MaySun1+2)=5),MaySun1+2, "")</f>
        <v/>
      </c>
      <c r="E3" s="5" t="str">
        <f>IF(AND(YEAR(MaySun1+3)=CalendarYear,MONTH(MaySun1+3)=5),MaySun1+3, "")</f>
        <v/>
      </c>
      <c r="F3" s="5" t="str">
        <f>IF(AND(YEAR(MaySun1+4)=CalendarYear,MONTH(MaySun1+4)=5),MaySun1+4, "")</f>
        <v/>
      </c>
      <c r="G3" s="5">
        <f>IF(AND(YEAR(MaySun1+5)=CalendarYear,MONTH(MaySun1+5)=5),MaySun1+5, "")</f>
        <v>42125</v>
      </c>
      <c r="H3" s="10">
        <f>IF(AND(YEAR(MaySun1+6)=CalendarYear,MONTH(MaySun1+6)=5),MaySun1+6, "")</f>
        <v>42126</v>
      </c>
    </row>
    <row r="4" spans="1:8" ht="57.95" customHeight="1">
      <c r="B4" s="29"/>
      <c r="C4" s="25"/>
      <c r="D4" s="26"/>
      <c r="E4" s="26"/>
      <c r="F4" s="26"/>
      <c r="G4" s="26" t="s">
        <v>29</v>
      </c>
      <c r="H4" s="30"/>
    </row>
    <row r="5" spans="1:8" ht="14.1" customHeight="1">
      <c r="B5" s="11">
        <f>IF(AND(YEAR(MaySun1+7)=CalendarYear,MONTH(MaySun1+7)=5),MaySun1+7, "")</f>
        <v>42127</v>
      </c>
      <c r="C5" s="5">
        <f>IF(AND(YEAR(MaySun1+8)=CalendarYear,MONTH(MaySun1+8)=5),MaySun1+8, "")</f>
        <v>42128</v>
      </c>
      <c r="D5" s="5">
        <f>IF(AND(YEAR(MaySun1+9)=CalendarYear,MONTH(MaySun1+9)=5),MaySun1+9, "")</f>
        <v>42129</v>
      </c>
      <c r="E5" s="5">
        <f>IF(AND(YEAR(MaySun1+10)=CalendarYear,MONTH(MaySun1+10)=5),MaySun1+10, "")</f>
        <v>42130</v>
      </c>
      <c r="F5" s="5">
        <f>IF(AND(YEAR(MaySun1+11)=CalendarYear,MONTH(MaySun1+11)=5),MaySun1+11, "")</f>
        <v>42131</v>
      </c>
      <c r="G5" s="5">
        <f>IF(AND(YEAR(MaySun1+12)=CalendarYear,MONTH(MaySun1+12)=5),MaySun1+12,"")</f>
        <v>42132</v>
      </c>
      <c r="H5" s="10">
        <f>IF(AND(YEAR(MaySun1+13)=CalendarYear,MONTH(MaySun1+13)=5),MaySun1+13, "")</f>
        <v>42133</v>
      </c>
    </row>
    <row r="6" spans="1:8" ht="57.95" customHeight="1">
      <c r="B6" s="29"/>
      <c r="C6" s="40"/>
      <c r="D6" s="26"/>
      <c r="E6" s="41"/>
      <c r="F6" s="26"/>
      <c r="G6" s="26"/>
      <c r="H6" s="30"/>
    </row>
    <row r="7" spans="1:8" ht="14.1" customHeight="1">
      <c r="B7" s="11">
        <f>IF(AND(YEAR(MaySun1+14)=CalendarYear,MONTH(MaySun1+14)=5),MaySun1+14, "")</f>
        <v>42134</v>
      </c>
      <c r="C7" s="5">
        <f>IF(AND(YEAR(MaySun1+15)=CalendarYear,MONTH(MaySun1+15)=5),MaySun1+15, "")</f>
        <v>42135</v>
      </c>
      <c r="D7" s="5">
        <f>IF(AND(YEAR(MaySun1+16)=CalendarYear,MONTH(MaySun1+16)=5),MaySun1+16, "")</f>
        <v>42136</v>
      </c>
      <c r="E7" s="5">
        <f>IF(AND(YEAR(MaySun1+17)=CalendarYear,MONTH(MaySun1+17)=5),MaySun1+17, "")</f>
        <v>42137</v>
      </c>
      <c r="F7" s="5">
        <f>IF(AND(YEAR(MaySun1+18)=CalendarYear,MONTH(MaySun1+18)=5),MaySun1+18, "")</f>
        <v>42138</v>
      </c>
      <c r="G7" s="5">
        <f>IF(AND(YEAR(MaySun1+19)=CalendarYear,MONTH(MaySun1+19)=5),MaySun1+19, "")</f>
        <v>42139</v>
      </c>
      <c r="H7" s="10">
        <f>IF(AND(YEAR(MaySun1+20)=CalendarYear,MONTH(MaySun1+20)=5),MaySun1+20, "")</f>
        <v>42140</v>
      </c>
    </row>
    <row r="8" spans="1:8" ht="57.95" customHeight="1">
      <c r="B8" s="29"/>
      <c r="C8" s="25"/>
      <c r="D8" s="26" t="s">
        <v>12</v>
      </c>
      <c r="E8" s="25" t="s">
        <v>23</v>
      </c>
      <c r="G8" s="25"/>
      <c r="H8" s="30"/>
    </row>
    <row r="9" spans="1:8" ht="14.1" customHeight="1">
      <c r="B9" s="12">
        <f>IF(AND(YEAR(MaySun1+21)=CalendarYear,MONTH(MaySun1+21)=5),MaySun1+21, "")</f>
        <v>42141</v>
      </c>
      <c r="C9" s="6">
        <f>IF(AND(YEAR(MaySun1+22)=CalendarYear,MONTH(MaySun1+22)=5),MaySun1+22, "")</f>
        <v>42142</v>
      </c>
      <c r="D9" s="6">
        <f>IF(AND(YEAR(MaySun1+23)=CalendarYear,MONTH(MaySun1+23)=5),MaySun1+23, "")</f>
        <v>42143</v>
      </c>
      <c r="E9" s="6">
        <f>IF(AND(YEAR(MaySun1+24)=CalendarYear,MONTH(MaySun1+24)=5),MaySun1+24, "")</f>
        <v>42144</v>
      </c>
      <c r="F9" s="6">
        <f>IF(AND(YEAR(MaySun1+25)=CalendarYear,MONTH(MaySun1+25)=5),MaySun1+25, "")</f>
        <v>42145</v>
      </c>
      <c r="G9" s="6">
        <f>IF(AND(YEAR(MaySun1+26)=CalendarYear,MONTH(MaySun1+26)=5),MaySun1+26, "")</f>
        <v>42146</v>
      </c>
      <c r="H9" s="13">
        <f>IF(AND(YEAR(MaySun1+27)=CalendarYear,MONTH(MaySun1+27)=5),MaySun1+27, "")</f>
        <v>42147</v>
      </c>
    </row>
    <row r="10" spans="1:8" ht="57.95" customHeight="1">
      <c r="B10" s="33"/>
      <c r="D10" s="26"/>
      <c r="E10" s="26"/>
      <c r="G10" s="25"/>
      <c r="H10" s="30"/>
    </row>
    <row r="11" spans="1:8" ht="14.1" customHeight="1">
      <c r="B11" s="12">
        <f>IF(AND(YEAR(MaySun1+28)=CalendarYear,MONTH(MaySun1+28)=5),MaySun1+28, "")</f>
        <v>42148</v>
      </c>
      <c r="C11" s="6">
        <f>IF(AND(YEAR(MaySun1+29)=CalendarYear,MONTH(MaySun1+29)=5),MaySun1+29, "")</f>
        <v>42149</v>
      </c>
      <c r="D11" s="6">
        <f>IF(AND(YEAR(MaySun1+30)=CalendarYear,MONTH(MaySun1+30)=5),MaySun1+30, "")</f>
        <v>42150</v>
      </c>
      <c r="E11" s="6">
        <f>IF(AND(YEAR(MaySun1+31)=CalendarYear,MONTH(MaySun1+31)=5),MaySun1+31, "")</f>
        <v>42151</v>
      </c>
      <c r="F11" s="6">
        <f>IF(AND(YEAR(MaySun1+32)=CalendarYear,MONTH(MaySun1+32)=5),MaySun1+32, "")</f>
        <v>42152</v>
      </c>
      <c r="G11" s="6">
        <f>IF(AND(YEAR(MaySun1+33)=CalendarYear,MONTH(MaySun1+33)=5),MaySun1+33, "")</f>
        <v>42153</v>
      </c>
      <c r="H11" s="13">
        <f>IF(AND(YEAR(MaySun1+34)=CalendarYear,MONTH(MaySun1+34)=5),MaySun1+34, "")</f>
        <v>42154</v>
      </c>
    </row>
    <row r="12" spans="1:8" ht="57.95" customHeight="1">
      <c r="B12" s="29"/>
      <c r="D12" s="25"/>
      <c r="E12" s="26" t="s">
        <v>13</v>
      </c>
      <c r="F12" s="26" t="s">
        <v>14</v>
      </c>
      <c r="G12" s="36"/>
      <c r="H12" s="30"/>
    </row>
    <row r="13" spans="1:8" ht="14.1" customHeight="1">
      <c r="B13" s="28">
        <f>IF(AND(YEAR(MaySun1+35)=CalendarYear,MONTH(MaySun1+35)=5),MaySun1+35, "")</f>
        <v>42155</v>
      </c>
      <c r="C13" s="24">
        <v>42156</v>
      </c>
      <c r="D13" s="46" t="s">
        <v>8</v>
      </c>
      <c r="E13" s="46"/>
      <c r="F13" s="46"/>
      <c r="G13" s="46"/>
      <c r="H13" s="47"/>
    </row>
    <row r="14" spans="1:8" ht="57.95" customHeight="1" thickBot="1">
      <c r="B14" s="31"/>
      <c r="C14" s="41" t="s">
        <v>27</v>
      </c>
      <c r="D14" s="59" t="s">
        <v>32</v>
      </c>
      <c r="E14" s="57"/>
      <c r="F14" s="57"/>
      <c r="G14" s="57"/>
      <c r="H14" s="58"/>
    </row>
  </sheetData>
  <mergeCells count="3">
    <mergeCell ref="B1:H1"/>
    <mergeCell ref="D13:H13"/>
    <mergeCell ref="D14:H14"/>
  </mergeCells>
  <phoneticPr fontId="1" type="noConversion"/>
  <printOptions horizontalCentered="1"/>
  <pageMargins left="0.5" right="0.5" top="0.75" bottom="0.75" header="0.5" footer="0.5"/>
  <pageSetup scale="87" orientation="landscape"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topLeftCell="A8" workbookViewId="0">
      <selection activeCell="B14" sqref="B14:H14"/>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DATE(CalendarYear,6,1)</f>
        <v>42156</v>
      </c>
      <c r="C1" s="42"/>
      <c r="D1" s="42"/>
      <c r="E1" s="42"/>
      <c r="F1" s="42"/>
      <c r="G1" s="42"/>
      <c r="H1" s="42"/>
    </row>
    <row r="2" spans="1:8" s="3" customFormat="1" ht="21.75" customHeight="1">
      <c r="A2" s="2"/>
      <c r="B2" s="15" t="s">
        <v>0</v>
      </c>
      <c r="C2" s="16" t="s">
        <v>1</v>
      </c>
      <c r="D2" s="16" t="s">
        <v>2</v>
      </c>
      <c r="E2" s="16" t="s">
        <v>3</v>
      </c>
      <c r="F2" s="16" t="s">
        <v>4</v>
      </c>
      <c r="G2" s="16" t="s">
        <v>5</v>
      </c>
      <c r="H2" s="17" t="s">
        <v>6</v>
      </c>
    </row>
    <row r="3" spans="1:8" ht="14.1" customHeight="1">
      <c r="B3" s="9" t="str">
        <f>IF(AND(YEAR(JunSun1)=CalendarYear,MONTH(JunSun1)=6),JunSun1, "")</f>
        <v/>
      </c>
      <c r="C3" s="5">
        <f>IF(AND(YEAR(JunSun1+1)=CalendarYear,MONTH(JunSun1+1)=6),JunSun1+1, "")</f>
        <v>42156</v>
      </c>
      <c r="D3" s="5">
        <f>IF(AND(YEAR(JunSun1+2)=CalendarYear,MONTH(JunSun1+2)=6),JunSun1+2, "")</f>
        <v>42157</v>
      </c>
      <c r="E3" s="5">
        <f>IF(AND(YEAR(JunSun1+3)=CalendarYear,MONTH(JunSun1+3)=6),JunSun1+3, "")</f>
        <v>42158</v>
      </c>
      <c r="F3" s="5">
        <f>IF(AND(YEAR(JunSun1+4)=CalendarYear,MONTH(JunSun1+4)=6),JunSun1+4, "")</f>
        <v>42159</v>
      </c>
      <c r="G3" s="5">
        <f>IF(AND(YEAR(JunSun1+5)=CalendarYear,MONTH(JunSun1+5)=6),JunSun1+5, "")</f>
        <v>42160</v>
      </c>
      <c r="H3" s="10">
        <f>IF(AND(YEAR(JunSun1+6)=CalendarYear,MONTH(JunSun1+6)=6),JunSun1+6, "")</f>
        <v>42161</v>
      </c>
    </row>
    <row r="4" spans="1:8" ht="57.95" customHeight="1">
      <c r="B4" s="29"/>
      <c r="C4" s="41" t="s">
        <v>27</v>
      </c>
      <c r="D4" s="26" t="s">
        <v>24</v>
      </c>
      <c r="E4" s="26"/>
      <c r="F4" s="56" t="s">
        <v>30</v>
      </c>
      <c r="G4" s="26"/>
      <c r="H4" s="30"/>
    </row>
    <row r="5" spans="1:8" ht="14.1" customHeight="1">
      <c r="B5" s="11">
        <f>IF(AND(YEAR(JunSun1+7)=CalendarYear,MONTH(JunSun1+7)=6),JunSun1+7, "")</f>
        <v>42162</v>
      </c>
      <c r="C5" s="5">
        <f>IF(AND(YEAR(JunSun1+8)=CalendarYear,MONTH(JunSun1+8)=6),JunSun1+8, "")</f>
        <v>42163</v>
      </c>
      <c r="D5" s="5">
        <f>IF(AND(YEAR(JunSun1+9)=CalendarYear,MONTH(JunSun1+9)=6),JunSun1+9, "")</f>
        <v>42164</v>
      </c>
      <c r="E5" s="5">
        <f>IF(AND(YEAR(JunSun1+10)=CalendarYear,MONTH(JunSun1+10)=6),JunSun1+10, "")</f>
        <v>42165</v>
      </c>
      <c r="F5" s="5">
        <f>IF(AND(YEAR(JunSun1+11)=CalendarYear,MONTH(JunSun1+11)=6),JunSun1+11, "")</f>
        <v>42166</v>
      </c>
      <c r="G5" s="5">
        <f>IF(AND(YEAR(JunSun1+12)=CalendarYear,MONTH(JunSun1+12)=6),JunSun1+12,"")</f>
        <v>42167</v>
      </c>
      <c r="H5" s="10">
        <f>IF(AND(YEAR(JunSun1+13)=CalendarYear,MONTH(JunSun1+13)=6),JunSun1+13, "")</f>
        <v>42168</v>
      </c>
    </row>
    <row r="6" spans="1:8" ht="57.95" customHeight="1">
      <c r="B6" s="29"/>
      <c r="C6" s="25" t="s">
        <v>25</v>
      </c>
      <c r="E6" s="26"/>
      <c r="F6" s="26"/>
      <c r="G6" s="26"/>
      <c r="H6" s="30"/>
    </row>
    <row r="7" spans="1:8" ht="14.1" customHeight="1">
      <c r="B7" s="11">
        <f>IF(AND(YEAR(JunSun1+14)=CalendarYear,MONTH(JunSun1+14)=6),JunSun1+14, "")</f>
        <v>42169</v>
      </c>
      <c r="C7" s="5">
        <f>IF(AND(YEAR(JunSun1+15)=CalendarYear,MONTH(JunSun1+15)=6),JunSun1+15, "")</f>
        <v>42170</v>
      </c>
      <c r="D7" s="5">
        <f>IF(AND(YEAR(JunSun1+16)=CalendarYear,MONTH(JunSun1+16)=6),JunSun1+16, "")</f>
        <v>42171</v>
      </c>
      <c r="E7" s="5">
        <f>IF(AND(YEAR(JunSun1+17)=CalendarYear,MONTH(JunSun1+17)=6),JunSun1+17, "")</f>
        <v>42172</v>
      </c>
      <c r="F7" s="5">
        <f>IF(AND(YEAR(JunSun1+18)=CalendarYear,MONTH(JunSun1+18)=6),JunSun1+18, "")</f>
        <v>42173</v>
      </c>
      <c r="G7" s="5">
        <f>IF(AND(YEAR(JunSun1+19)=CalendarYear,MONTH(JunSun1+19)=6),JunSun1+19, "")</f>
        <v>42174</v>
      </c>
      <c r="H7" s="10">
        <f>IF(AND(YEAR(JunSun1+20)=CalendarYear,MONTH(JunSun1+20)=6),JunSun1+20, "")</f>
        <v>42175</v>
      </c>
    </row>
    <row r="8" spans="1:8" ht="57.95" customHeight="1">
      <c r="B8" s="29"/>
      <c r="C8" s="25" t="s">
        <v>31</v>
      </c>
      <c r="D8" s="25" t="s">
        <v>26</v>
      </c>
      <c r="E8" s="26"/>
      <c r="F8" s="26"/>
      <c r="G8" s="26"/>
      <c r="H8" s="30"/>
    </row>
    <row r="9" spans="1:8" ht="14.1" customHeight="1">
      <c r="B9" s="12">
        <f>IF(AND(YEAR(JunSun1+21)=CalendarYear,MONTH(JunSun1+21)=6),JunSun1+21, "")</f>
        <v>42176</v>
      </c>
      <c r="C9" s="6">
        <f>IF(AND(YEAR(JunSun1+22)=CalendarYear,MONTH(JunSun1+22)=6),JunSun1+22, "")</f>
        <v>42177</v>
      </c>
      <c r="D9" s="6">
        <f>IF(AND(YEAR(JunSun1+23)=CalendarYear,MONTH(JunSun1+23)=6),JunSun1+23, "")</f>
        <v>42178</v>
      </c>
      <c r="E9" s="6">
        <f>IF(AND(YEAR(JunSun1+24)=CalendarYear,MONTH(JunSun1+24)=6),JunSun1+24, "")</f>
        <v>42179</v>
      </c>
      <c r="F9" s="6">
        <f>IF(AND(YEAR(JunSun1+25)=CalendarYear,MONTH(JunSun1+25)=6),JunSun1+25, "")</f>
        <v>42180</v>
      </c>
      <c r="G9" s="6">
        <f>IF(AND(YEAR(JunSun1+26)=CalendarYear,MONTH(JunSun1+26)=6),JunSun1+26, "")</f>
        <v>42181</v>
      </c>
      <c r="H9" s="13">
        <f>IF(AND(YEAR(JunSun1+27)=CalendarYear,MONTH(JunSun1+27)=6),JunSun1+27, "")</f>
        <v>42182</v>
      </c>
    </row>
    <row r="10" spans="1:8" ht="57.95" customHeight="1">
      <c r="B10" s="29"/>
      <c r="D10" s="26"/>
      <c r="E10" s="26"/>
      <c r="F10" s="26"/>
      <c r="G10" s="26"/>
      <c r="H10" s="30"/>
    </row>
    <row r="11" spans="1:8" ht="14.1" customHeight="1">
      <c r="B11" s="12">
        <f>IF(AND(YEAR(JunSun1+28)=CalendarYear,MONTH(JunSun1+28)=6),JunSun1+28, "")</f>
        <v>42183</v>
      </c>
      <c r="C11" s="6">
        <f>IF(AND(YEAR(JunSun1+29)=CalendarYear,MONTH(JunSun1+29)=6),JunSun1+29, "")</f>
        <v>42184</v>
      </c>
      <c r="D11" s="6">
        <f>IF(AND(YEAR(JunSun1+30)=CalendarYear,MONTH(JunSun1+30)=6),JunSun1+30, "")</f>
        <v>42185</v>
      </c>
      <c r="E11" s="6" t="str">
        <f>IF(AND(YEAR(JunSun1+31)=CalendarYear,MONTH(JunSun1+31)=6),JunSun1+31, "")</f>
        <v/>
      </c>
      <c r="F11" s="6" t="str">
        <f>IF(AND(YEAR(JunSun1+32)=CalendarYear,MONTH(JunSun1+32)=6),JunSun1+32, "")</f>
        <v/>
      </c>
      <c r="G11" s="6" t="str">
        <f>IF(AND(YEAR(JunSun1+33)=CalendarYear,MONTH(JunSun1+33)=6),JunSun1+33, "")</f>
        <v/>
      </c>
      <c r="H11" s="13" t="str">
        <f>IF(AND(YEAR(JunSun1+34)=CalendarYear,MONTH(JunSun1+34)=6),JunSun1+34, "")</f>
        <v/>
      </c>
    </row>
    <row r="12" spans="1:8" ht="57.95" customHeight="1">
      <c r="B12" s="29"/>
      <c r="C12" s="25"/>
      <c r="D12" s="26"/>
      <c r="E12" s="26"/>
      <c r="F12" s="25"/>
      <c r="G12" s="25"/>
      <c r="H12" s="30"/>
    </row>
    <row r="13" spans="1:8" ht="14.1" customHeight="1">
      <c r="B13" s="52" t="s">
        <v>8</v>
      </c>
      <c r="C13" s="53"/>
      <c r="D13" s="38"/>
      <c r="E13" s="38"/>
      <c r="F13" s="38"/>
      <c r="G13" s="38"/>
      <c r="H13" s="39"/>
    </row>
    <row r="14" spans="1:8" ht="57.95" customHeight="1" thickBot="1">
      <c r="B14" s="48"/>
      <c r="C14" s="44"/>
      <c r="D14" s="44"/>
      <c r="E14" s="44"/>
      <c r="F14" s="44"/>
      <c r="G14" s="44"/>
      <c r="H14" s="45"/>
    </row>
  </sheetData>
  <mergeCells count="3">
    <mergeCell ref="B1:H1"/>
    <mergeCell ref="B14:H14"/>
    <mergeCell ref="B13:C13"/>
  </mergeCells>
  <phoneticPr fontId="1" type="noConversion"/>
  <printOptions horizontalCentered="1"/>
  <pageMargins left="0.5" right="0.5" top="0.75" bottom="0.75" header="0.5" footer="0.5"/>
  <pageSetup scale="65" orientation="portrait" r:id="rId1"/>
  <headerFooter alignWithMargins="0"/>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DATE(CalendarYear,7,1)</f>
        <v>42186</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IF(AND(YEAR(JulSun1)=CalendarYear,MONTH(JulSun1)=7),JulSun1, "")</f>
        <v/>
      </c>
      <c r="C3" s="5" t="str">
        <f>IF(AND(YEAR(JulSun1+1)=CalendarYear,MONTH(JulSun1+1)=7),JulSun1+1, "")</f>
        <v/>
      </c>
      <c r="D3" s="5" t="str">
        <f>IF(AND(YEAR(JulSun1+2)=CalendarYear,MONTH(JulSun1+2)=7),JulSun1+2, "")</f>
        <v/>
      </c>
      <c r="E3" s="5">
        <f>IF(AND(YEAR(JulSun1+3)=CalendarYear,MONTH(JulSun1+3)=7),JulSun1+3, "")</f>
        <v>42186</v>
      </c>
      <c r="F3" s="5">
        <f>IF(AND(YEAR(JulSun1+4)=CalendarYear,MONTH(JulSun1+4)=7),JulSun1+4, "")</f>
        <v>42187</v>
      </c>
      <c r="G3" s="5">
        <f>IF(AND(YEAR(JulSun1+5)=CalendarYear,MONTH(JulSun1+5)=7),JulSun1+5, "")</f>
        <v>42188</v>
      </c>
      <c r="H3" s="10">
        <f>IF(AND(YEAR(JulSun1+6)=CalendarYear,MONTH(JulSun1+6)=7),JulSun1+6, "")</f>
        <v>42189</v>
      </c>
    </row>
    <row r="4" spans="1:8" ht="57.95" customHeight="1">
      <c r="B4" s="29"/>
      <c r="C4" s="25"/>
      <c r="D4" s="26"/>
      <c r="E4" s="26"/>
      <c r="F4" s="26"/>
      <c r="G4" s="26"/>
      <c r="H4" s="30"/>
    </row>
    <row r="5" spans="1:8" ht="14.1" customHeight="1">
      <c r="B5" s="11">
        <f>IF(AND(YEAR(JulSun1+7)=CalendarYear,MONTH(JulSun1+7)=7),JulSun1+7, "")</f>
        <v>42190</v>
      </c>
      <c r="C5" s="5">
        <f>IF(AND(YEAR(JulSun1+8)=CalendarYear,MONTH(JulSun1+8)=7),JulSun1+8, "")</f>
        <v>42191</v>
      </c>
      <c r="D5" s="5">
        <f>IF(AND(YEAR(JulSun1+9)=CalendarYear,MONTH(JulSun1+9)=7),JulSun1+9, "")</f>
        <v>42192</v>
      </c>
      <c r="E5" s="5">
        <f>IF(AND(YEAR(JulSun1+10)=CalendarYear,MONTH(JulSun1+10)=7),JulSun1+10, "")</f>
        <v>42193</v>
      </c>
      <c r="F5" s="5">
        <f>IF(AND(YEAR(JulSun1+11)=CalendarYear,MONTH(JulSun1+11)=7),JulSun1+11, "")</f>
        <v>42194</v>
      </c>
      <c r="G5" s="5">
        <f>IF(AND(YEAR(JulSun1+12)=CalendarYear,MONTH(JulSun1+12)=7),JulSun1+12,"")</f>
        <v>42195</v>
      </c>
      <c r="H5" s="10">
        <f>IF(AND(YEAR(JulSun1+13)=CalendarYear,MONTH(JulSun1+13)=7),JulSun1+13, "")</f>
        <v>42196</v>
      </c>
    </row>
    <row r="6" spans="1:8" ht="57.95" customHeight="1">
      <c r="B6" s="29"/>
      <c r="C6" s="25"/>
      <c r="D6" s="26"/>
      <c r="E6" s="26"/>
      <c r="F6" s="26"/>
      <c r="G6" s="26"/>
      <c r="H6" s="30"/>
    </row>
    <row r="7" spans="1:8" ht="14.1" customHeight="1">
      <c r="B7" s="11">
        <f>IF(AND(YEAR(JulSun1+14)=CalendarYear,MONTH(JulSun1+14)=7),JulSun1+14, "")</f>
        <v>42197</v>
      </c>
      <c r="C7" s="5">
        <f>IF(AND(YEAR(JulSun1+15)=CalendarYear,MONTH(JulSun1+15)=7),JulSun1+15, "")</f>
        <v>42198</v>
      </c>
      <c r="D7" s="5">
        <f>IF(AND(YEAR(JulSun1+16)=CalendarYear,MONTH(JulSun1+16)=7),JulSun1+16, "")</f>
        <v>42199</v>
      </c>
      <c r="E7" s="5">
        <f>IF(AND(YEAR(JulSun1+17)=CalendarYear,MONTH(JulSun1+17)=7),JulSun1+17, "")</f>
        <v>42200</v>
      </c>
      <c r="F7" s="5">
        <f>IF(AND(YEAR(JulSun1+18)=CalendarYear,MONTH(JulSun1+18)=7),JulSun1+18, "")</f>
        <v>42201</v>
      </c>
      <c r="G7" s="5">
        <f>IF(AND(YEAR(JulSun1+19)=CalendarYear,MONTH(JulSun1+19)=7),JulSun1+19, "")</f>
        <v>42202</v>
      </c>
      <c r="H7" s="10">
        <f>IF(AND(YEAR(JulSun1+20)=CalendarYear,MONTH(JulSun1+20)=7),JulSun1+20, "")</f>
        <v>42203</v>
      </c>
    </row>
    <row r="8" spans="1:8" ht="57.95" customHeight="1">
      <c r="B8" s="29"/>
      <c r="C8" s="25"/>
      <c r="D8" s="26"/>
      <c r="E8" s="26"/>
      <c r="F8" s="26"/>
      <c r="G8" s="26"/>
      <c r="H8" s="30"/>
    </row>
    <row r="9" spans="1:8" ht="14.1" customHeight="1">
      <c r="B9" s="12">
        <f>IF(AND(YEAR(JulSun1+21)=CalendarYear,MONTH(JulSun1+21)=7),JulSun1+21, "")</f>
        <v>42204</v>
      </c>
      <c r="C9" s="6">
        <f>IF(AND(YEAR(JulSun1+22)=CalendarYear,MONTH(JulSun1+22)=7),JulSun1+22, "")</f>
        <v>42205</v>
      </c>
      <c r="D9" s="6">
        <f>IF(AND(YEAR(JulSun1+23)=CalendarYear,MONTH(JulSun1+23)=7),JulSun1+23, "")</f>
        <v>42206</v>
      </c>
      <c r="E9" s="6">
        <f>IF(AND(YEAR(JulSun1+24)=CalendarYear,MONTH(JulSun1+24)=7),JulSun1+24, "")</f>
        <v>42207</v>
      </c>
      <c r="F9" s="6">
        <f>IF(AND(YEAR(JulSun1+25)=CalendarYear,MONTH(JulSun1+25)=7),JulSun1+25, "")</f>
        <v>42208</v>
      </c>
      <c r="G9" s="6">
        <f>IF(AND(YEAR(JulSun1+26)=CalendarYear,MONTH(JulSun1+26)=7),JulSun1+26, "")</f>
        <v>42209</v>
      </c>
      <c r="H9" s="13">
        <f>IF(AND(YEAR(JulSun1+27)=CalendarYear,MONTH(JulSun1+27)=7),JulSun1+27, "")</f>
        <v>42210</v>
      </c>
    </row>
    <row r="10" spans="1:8" ht="57.95" customHeight="1">
      <c r="B10" s="29"/>
      <c r="C10" s="25"/>
      <c r="D10" s="26"/>
      <c r="E10" s="26"/>
      <c r="F10" s="26"/>
      <c r="G10" s="26"/>
      <c r="H10" s="30"/>
    </row>
    <row r="11" spans="1:8" ht="14.1" customHeight="1">
      <c r="B11" s="12">
        <f>IF(AND(YEAR(JulSun1+28)=CalendarYear,MONTH(JulSun1+28)=7),JulSun1+28, "")</f>
        <v>42211</v>
      </c>
      <c r="C11" s="6">
        <f>IF(AND(YEAR(JulSun1+29)=CalendarYear,MONTH(JulSun1+29)=7),JulSun1+29, "")</f>
        <v>42212</v>
      </c>
      <c r="D11" s="6">
        <f>IF(AND(YEAR(JulSun1+30)=CalendarYear,MONTH(JulSun1+30)=7),JulSun1+30, "")</f>
        <v>42213</v>
      </c>
      <c r="E11" s="6">
        <f>IF(AND(YEAR(JulSun1+31)=CalendarYear,MONTH(JulSun1+31)=7),JulSun1+31, "")</f>
        <v>42214</v>
      </c>
      <c r="F11" s="6">
        <f>IF(AND(YEAR(JulSun1+32)=CalendarYear,MONTH(JulSun1+32)=7),JulSun1+32, "")</f>
        <v>42215</v>
      </c>
      <c r="G11" s="6">
        <f>IF(AND(YEAR(JulSun1+33)=CalendarYear,MONTH(JulSun1+33)=7),JulSun1+33, "")</f>
        <v>42216</v>
      </c>
      <c r="H11" s="13" t="str">
        <f>IF(AND(YEAR(JulSun1+34)=CalendarYear,MONTH(JulSun1+34)=7),JulSun1+34, "")</f>
        <v/>
      </c>
    </row>
    <row r="12" spans="1:8" ht="57.95" customHeight="1">
      <c r="B12" s="29"/>
      <c r="C12" s="25"/>
      <c r="D12" s="26"/>
      <c r="E12" s="26"/>
      <c r="F12" s="25"/>
      <c r="G12" s="25"/>
      <c r="H12" s="30"/>
    </row>
    <row r="13" spans="1:8" ht="14.1" customHeight="1">
      <c r="B13" s="28" t="str">
        <f>IF(AND(YEAR(JulSun1+35)=CalendarYear,MONTH(JulSun1+35)=7),JulSun1+35, "")</f>
        <v/>
      </c>
      <c r="C13" s="24" t="str">
        <f>IF(AND(YEAR(JulSun1+36)=CalendarYear,MONTH(JulSun1+36)=7),JulSun1+36, "")</f>
        <v/>
      </c>
      <c r="D13" s="46" t="s">
        <v>8</v>
      </c>
      <c r="E13" s="46"/>
      <c r="F13" s="46"/>
      <c r="G13" s="46"/>
      <c r="H13" s="47"/>
    </row>
    <row r="14" spans="1:8" ht="57.95" customHeight="1" thickBot="1">
      <c r="B14" s="31"/>
      <c r="C14" s="27"/>
      <c r="D14" s="43"/>
      <c r="E14" s="44"/>
      <c r="F14" s="44"/>
      <c r="G14" s="44"/>
      <c r="H14" s="45"/>
    </row>
  </sheetData>
  <mergeCells count="3">
    <mergeCell ref="B1:H1"/>
    <mergeCell ref="D13:H13"/>
    <mergeCell ref="D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DATE(CalendarYear,8,1)</f>
        <v>42217</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IF(AND(YEAR(AugSun1)=CalendarYear,MONTH(AugSun1)=8),AugSun1, "")</f>
        <v/>
      </c>
      <c r="C3" s="5" t="str">
        <f>IF(AND(YEAR(AugSun1+1)=CalendarYear,MONTH(AugSun1+1)=8),AugSun1+1, "")</f>
        <v/>
      </c>
      <c r="D3" s="5" t="str">
        <f>IF(AND(YEAR(AugSun1+2)=CalendarYear,MONTH(AugSun1+2)=8),AugSun1+2, "")</f>
        <v/>
      </c>
      <c r="E3" s="5" t="str">
        <f>IF(AND(YEAR(AugSun1+3)=CalendarYear,MONTH(AugSun1+3)=8),AugSun1+3, "")</f>
        <v/>
      </c>
      <c r="F3" s="5" t="str">
        <f>IF(AND(YEAR(AugSun1+4)=CalendarYear,MONTH(AugSun1+4)=8),AugSun1+4, "")</f>
        <v/>
      </c>
      <c r="G3" s="5" t="str">
        <f>IF(AND(YEAR(AugSun1+5)=CalendarYear,MONTH(AugSun1+5)=8),AugSun1+5, "")</f>
        <v/>
      </c>
      <c r="H3" s="10">
        <f>IF(AND(YEAR(AugSun1+6)=CalendarYear,MONTH(AugSun1+6)=8),AugSun1+6, "")</f>
        <v>42217</v>
      </c>
    </row>
    <row r="4" spans="1:8" ht="57.95" customHeight="1">
      <c r="B4" s="29"/>
      <c r="C4" s="25"/>
      <c r="D4" s="26"/>
      <c r="E4" s="26"/>
      <c r="F4" s="26"/>
      <c r="G4" s="26"/>
      <c r="H4" s="30"/>
    </row>
    <row r="5" spans="1:8" ht="14.1" customHeight="1">
      <c r="B5" s="11">
        <f>IF(AND(YEAR(AugSun1+7)=CalendarYear,MONTH(AugSun1+7)=8),AugSun1+7, "")</f>
        <v>42218</v>
      </c>
      <c r="C5" s="5">
        <f>IF(AND(YEAR(AugSun1+8)=CalendarYear,MONTH(AugSun1+8)=8),AugSun1+8, "")</f>
        <v>42219</v>
      </c>
      <c r="D5" s="5">
        <f>IF(AND(YEAR(AugSun1+9)=CalendarYear,MONTH(AugSun1+9)=8),AugSun1+9, "")</f>
        <v>42220</v>
      </c>
      <c r="E5" s="5">
        <f>IF(AND(YEAR(AugSun1+10)=CalendarYear,MONTH(AugSun1+10)=8),AugSun1+10, "")</f>
        <v>42221</v>
      </c>
      <c r="F5" s="5">
        <f>IF(AND(YEAR(AugSun1+11)=CalendarYear,MONTH(AugSun1+11)=8),AugSun1+11, "")</f>
        <v>42222</v>
      </c>
      <c r="G5" s="5">
        <f>IF(AND(YEAR(AugSun1+12)=CalendarYear,MONTH(AugSun1+12)=8),AugSun1+12,"")</f>
        <v>42223</v>
      </c>
      <c r="H5" s="10">
        <f>IF(AND(YEAR(AugSun1+13)=CalendarYear,MONTH(AugSun1+13)=8),AugSun1+13, "")</f>
        <v>42224</v>
      </c>
    </row>
    <row r="6" spans="1:8" ht="57.95" customHeight="1">
      <c r="B6" s="29"/>
      <c r="C6" s="25"/>
      <c r="D6" s="26"/>
      <c r="E6" s="26"/>
      <c r="F6" s="26"/>
      <c r="G6" s="26"/>
      <c r="H6" s="30"/>
    </row>
    <row r="7" spans="1:8" ht="14.1" customHeight="1">
      <c r="B7" s="11">
        <f>IF(AND(YEAR(AugSun1+14)=CalendarYear,MONTH(AugSun1+14)=8),AugSun1+14, "")</f>
        <v>42225</v>
      </c>
      <c r="C7" s="5">
        <f>IF(AND(YEAR(AugSun1+15)=CalendarYear,MONTH(AugSun1+15)=8),AugSun1+15, "")</f>
        <v>42226</v>
      </c>
      <c r="D7" s="5">
        <f>IF(AND(YEAR(AugSun1+16)=CalendarYear,MONTH(AugSun1+16)=8),AugSun1+16, "")</f>
        <v>42227</v>
      </c>
      <c r="E7" s="5">
        <f>IF(AND(YEAR(AugSun1+17)=CalendarYear,MONTH(AugSun1+17)=8),AugSun1+17, "")</f>
        <v>42228</v>
      </c>
      <c r="F7" s="5">
        <f>IF(AND(YEAR(AugSun1+18)=CalendarYear,MONTH(AugSun1+18)=8),AugSun1+18, "")</f>
        <v>42229</v>
      </c>
      <c r="G7" s="5">
        <f>IF(AND(YEAR(AugSun1+19)=CalendarYear,MONTH(AugSun1+19)=8),AugSun1+19, "")</f>
        <v>42230</v>
      </c>
      <c r="H7" s="10">
        <f>IF(AND(YEAR(AugSun1+20)=CalendarYear,MONTH(AugSun1+20)=8),AugSun1+20, "")</f>
        <v>42231</v>
      </c>
    </row>
    <row r="8" spans="1:8" ht="57.95" customHeight="1">
      <c r="B8" s="29"/>
      <c r="C8" s="25"/>
      <c r="D8" s="26"/>
      <c r="E8" s="26"/>
      <c r="F8" s="26"/>
      <c r="G8" s="26"/>
      <c r="H8" s="30"/>
    </row>
    <row r="9" spans="1:8" ht="14.1" customHeight="1">
      <c r="B9" s="12">
        <f>IF(AND(YEAR(AugSun1+21)=CalendarYear,MONTH(AugSun1+21)=8),AugSun1+21, "")</f>
        <v>42232</v>
      </c>
      <c r="C9" s="6">
        <f>IF(AND(YEAR(AugSun1+22)=CalendarYear,MONTH(AugSun1+22)=8),AugSun1+22, "")</f>
        <v>42233</v>
      </c>
      <c r="D9" s="6">
        <f>IF(AND(YEAR(AugSun1+23)=CalendarYear,MONTH(AugSun1+23)=8),AugSun1+23, "")</f>
        <v>42234</v>
      </c>
      <c r="E9" s="6">
        <f>IF(AND(YEAR(AugSun1+24)=CalendarYear,MONTH(AugSun1+24)=8),AugSun1+24, "")</f>
        <v>42235</v>
      </c>
      <c r="F9" s="6">
        <f>IF(AND(YEAR(AugSun1+25)=CalendarYear,MONTH(AugSun1+25)=8),AugSun1+25, "")</f>
        <v>42236</v>
      </c>
      <c r="G9" s="6">
        <f>IF(AND(YEAR(AugSun1+26)=CalendarYear,MONTH(AugSun1+26)=8),AugSun1+26, "")</f>
        <v>42237</v>
      </c>
      <c r="H9" s="13">
        <f>IF(AND(YEAR(AugSun1+27)=CalendarYear,MONTH(AugSun1+27)=8),AugSun1+27, "")</f>
        <v>42238</v>
      </c>
    </row>
    <row r="10" spans="1:8" ht="57.95" customHeight="1">
      <c r="B10" s="29"/>
      <c r="C10" s="25"/>
      <c r="D10" s="26"/>
      <c r="E10" s="26"/>
      <c r="F10" s="26"/>
      <c r="G10" s="26"/>
      <c r="H10" s="30"/>
    </row>
    <row r="11" spans="1:8" ht="14.1" customHeight="1">
      <c r="B11" s="12">
        <f>IF(AND(YEAR(AugSun1+28)=CalendarYear,MONTH(AugSun1+28)=8),AugSun1+28, "")</f>
        <v>42239</v>
      </c>
      <c r="C11" s="6">
        <f>IF(AND(YEAR(AugSun1+29)=CalendarYear,MONTH(AugSun1+29)=8),AugSun1+29, "")</f>
        <v>42240</v>
      </c>
      <c r="D11" s="6">
        <f>IF(AND(YEAR(AugSun1+30)=CalendarYear,MONTH(AugSun1+30)=8),AugSun1+30, "")</f>
        <v>42241</v>
      </c>
      <c r="E11" s="6">
        <f>IF(AND(YEAR(AugSun1+31)=CalendarYear,MONTH(AugSun1+31)=8),AugSun1+31, "")</f>
        <v>42242</v>
      </c>
      <c r="F11" s="6">
        <f>IF(AND(YEAR(AugSun1+32)=CalendarYear,MONTH(AugSun1+32)=8),AugSun1+32, "")</f>
        <v>42243</v>
      </c>
      <c r="G11" s="6">
        <f>IF(AND(YEAR(AugSun1+33)=CalendarYear,MONTH(AugSun1+33)=8),AugSun1+33, "")</f>
        <v>42244</v>
      </c>
      <c r="H11" s="13">
        <f>IF(AND(YEAR(AugSun1+34)=CalendarYear,MONTH(AugSun1+34)=8),AugSun1+34, "")</f>
        <v>42245</v>
      </c>
    </row>
    <row r="12" spans="1:8" ht="57.95" customHeight="1">
      <c r="B12" s="29"/>
      <c r="C12" s="25"/>
      <c r="D12" s="26"/>
      <c r="E12" s="26"/>
      <c r="F12" s="25"/>
      <c r="G12" s="25"/>
      <c r="H12" s="30"/>
    </row>
    <row r="13" spans="1:8" ht="14.1" customHeight="1">
      <c r="B13" s="28">
        <f>IF(AND(YEAR(AugSun1+35)=CalendarYear,MONTH(AugSun1+35)=8),AugSun1+35, "")</f>
        <v>42246</v>
      </c>
      <c r="C13" s="24">
        <f>IF(AND(YEAR(AugSun1+36)=CalendarYear,MONTH(AugSun1+36)=8),AugSun1+36, "")</f>
        <v>42247</v>
      </c>
      <c r="D13" s="46" t="s">
        <v>8</v>
      </c>
      <c r="E13" s="46"/>
      <c r="F13" s="46"/>
      <c r="G13" s="46"/>
      <c r="H13" s="47"/>
    </row>
    <row r="14" spans="1:8" ht="57.95" customHeight="1" thickBot="1">
      <c r="B14" s="31"/>
      <c r="C14" s="27"/>
      <c r="D14" s="43"/>
      <c r="E14" s="44"/>
      <c r="F14" s="44"/>
      <c r="G14" s="44"/>
      <c r="H14" s="45"/>
    </row>
  </sheetData>
  <mergeCells count="3">
    <mergeCell ref="B1:H1"/>
    <mergeCell ref="D13:H13"/>
    <mergeCell ref="D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B1" sqref="B1:H1"/>
    </sheetView>
  </sheetViews>
  <sheetFormatPr defaultColWidth="8.75" defaultRowHeight="14.25"/>
  <cols>
    <col min="1" max="1" width="2.375" style="1" customWidth="1"/>
    <col min="2" max="8" width="17.625" style="4" customWidth="1"/>
    <col min="9" max="16384" width="8.75" style="4"/>
  </cols>
  <sheetData>
    <row r="1" spans="1:8" s="1" customFormat="1" ht="59.25" customHeight="1" thickBot="1">
      <c r="B1" s="42">
        <f>DATE(CalendarYear,9,1)</f>
        <v>42248</v>
      </c>
      <c r="C1" s="42"/>
      <c r="D1" s="42"/>
      <c r="E1" s="42"/>
      <c r="F1" s="42"/>
      <c r="G1" s="42"/>
      <c r="H1" s="42"/>
    </row>
    <row r="2" spans="1:8" s="3" customFormat="1" ht="21.75" customHeight="1">
      <c r="A2" s="2"/>
      <c r="B2" s="18" t="s">
        <v>0</v>
      </c>
      <c r="C2" s="19" t="s">
        <v>1</v>
      </c>
      <c r="D2" s="19" t="s">
        <v>2</v>
      </c>
      <c r="E2" s="19" t="s">
        <v>3</v>
      </c>
      <c r="F2" s="19" t="s">
        <v>4</v>
      </c>
      <c r="G2" s="19" t="s">
        <v>5</v>
      </c>
      <c r="H2" s="20" t="s">
        <v>6</v>
      </c>
    </row>
    <row r="3" spans="1:8" ht="14.1" customHeight="1">
      <c r="B3" s="9" t="str">
        <f>IF(AND(YEAR(SepSun1)=CalendarYear,MONTH(SepSun1)=9),SepSun1, "")</f>
        <v/>
      </c>
      <c r="C3" s="5" t="str">
        <f>IF(AND(YEAR(SepSun1+1)=CalendarYear,MONTH(SepSun1+1)=9),SepSun1+1, "")</f>
        <v/>
      </c>
      <c r="D3" s="5">
        <f>IF(AND(YEAR(SepSun1+2)=CalendarYear,MONTH(SepSun1+2)=9),SepSun1+2, "")</f>
        <v>42248</v>
      </c>
      <c r="E3" s="5">
        <f>IF(AND(YEAR(SepSun1+3)=CalendarYear,MONTH(SepSun1+3)=9),SepSun1+3, "")</f>
        <v>42249</v>
      </c>
      <c r="F3" s="5">
        <f>IF(AND(YEAR(SepSun1+4)=CalendarYear,MONTH(SepSun1+4)=9),SepSun1+4, "")</f>
        <v>42250</v>
      </c>
      <c r="G3" s="5">
        <f>IF(AND(YEAR(SepSun1+5)=CalendarYear,MONTH(SepSun1+5)=9),SepSun1+5, "")</f>
        <v>42251</v>
      </c>
      <c r="H3" s="10">
        <f>IF(AND(YEAR(SepSun1+6)=CalendarYear,MONTH(SepSun1+6)=9),SepSun1+6, "")</f>
        <v>42252</v>
      </c>
    </row>
    <row r="4" spans="1:8" ht="57.95" customHeight="1">
      <c r="B4" s="29"/>
      <c r="C4" s="25"/>
      <c r="D4" s="26"/>
      <c r="E4" s="26"/>
      <c r="F4" s="26"/>
      <c r="G4" s="26"/>
      <c r="H4" s="30"/>
    </row>
    <row r="5" spans="1:8" ht="14.1" customHeight="1">
      <c r="B5" s="11">
        <f>IF(AND(YEAR(SepSun1+7)=CalendarYear,MONTH(SepSun1+7)=9),SepSun1+7, "")</f>
        <v>42253</v>
      </c>
      <c r="C5" s="5">
        <f>IF(AND(YEAR(SepSun1+8)=CalendarYear,MONTH(SepSun1+8)=9),SepSun1+8, "")</f>
        <v>42254</v>
      </c>
      <c r="D5" s="5">
        <f>IF(AND(YEAR(SepSun1+9)=CalendarYear,MONTH(SepSun1+9)=9),SepSun1+9, "")</f>
        <v>42255</v>
      </c>
      <c r="E5" s="5">
        <f>IF(AND(YEAR(SepSun1+10)=CalendarYear,MONTH(SepSun1+10)=9),SepSun1+10, "")</f>
        <v>42256</v>
      </c>
      <c r="F5" s="5">
        <f>IF(AND(YEAR(SepSun1+11)=CalendarYear,MONTH(SepSun1+11)=9),SepSun1+11, "")</f>
        <v>42257</v>
      </c>
      <c r="G5" s="5">
        <f>IF(AND(YEAR(SepSun1+12)=CalendarYear,MONTH(SepSun1+12)=9),SepSun1+12,"")</f>
        <v>42258</v>
      </c>
      <c r="H5" s="10">
        <f>IF(AND(YEAR(SepSun1+13)=CalendarYear,MONTH(SepSun1+13)=9),SepSun1+13, "")</f>
        <v>42259</v>
      </c>
    </row>
    <row r="6" spans="1:8" ht="57.95" customHeight="1">
      <c r="B6" s="29"/>
      <c r="C6" s="25"/>
      <c r="D6" s="26"/>
      <c r="E6" s="26"/>
      <c r="F6" s="26"/>
      <c r="G6" s="26"/>
      <c r="H6" s="30"/>
    </row>
    <row r="7" spans="1:8" ht="14.1" customHeight="1">
      <c r="B7" s="11">
        <f>IF(AND(YEAR(SepSun1+14)=CalendarYear,MONTH(SepSun1+14)=9),SepSun1+14, "")</f>
        <v>42260</v>
      </c>
      <c r="C7" s="5">
        <f>IF(AND(YEAR(SepSun1+15)=CalendarYear,MONTH(SepSun1+15)=9),SepSun1+15, "")</f>
        <v>42261</v>
      </c>
      <c r="D7" s="5">
        <f>IF(AND(YEAR(SepSun1+16)=CalendarYear,MONTH(SepSun1+16)=9),SepSun1+16, "")</f>
        <v>42262</v>
      </c>
      <c r="E7" s="5">
        <f>IF(AND(YEAR(SepSun1+17)=CalendarYear,MONTH(SepSun1+17)=9),SepSun1+17, "")</f>
        <v>42263</v>
      </c>
      <c r="F7" s="5">
        <f>IF(AND(YEAR(SepSun1+18)=CalendarYear,MONTH(SepSun1+18)=9),SepSun1+18, "")</f>
        <v>42264</v>
      </c>
      <c r="G7" s="5">
        <f>IF(AND(YEAR(SepSun1+19)=CalendarYear,MONTH(SepSun1+19)=9),SepSun1+19, "")</f>
        <v>42265</v>
      </c>
      <c r="H7" s="10">
        <f>IF(AND(YEAR(SepSun1+20)=CalendarYear,MONTH(SepSun1+20)=9),SepSun1+20, "")</f>
        <v>42266</v>
      </c>
    </row>
    <row r="8" spans="1:8" ht="57.95" customHeight="1">
      <c r="B8" s="29"/>
      <c r="C8" s="25"/>
      <c r="D8" s="26"/>
      <c r="E8" s="26"/>
      <c r="F8" s="26"/>
      <c r="G8" s="26"/>
      <c r="H8" s="30"/>
    </row>
    <row r="9" spans="1:8" ht="14.1" customHeight="1">
      <c r="B9" s="12">
        <f>IF(AND(YEAR(SepSun1+21)=CalendarYear,MONTH(SepSun1+21)=9),SepSun1+21, "")</f>
        <v>42267</v>
      </c>
      <c r="C9" s="6">
        <f>IF(AND(YEAR(SepSun1+22)=CalendarYear,MONTH(SepSun1+22)=9),SepSun1+22, "")</f>
        <v>42268</v>
      </c>
      <c r="D9" s="6">
        <f>IF(AND(YEAR(SepSun1+23)=CalendarYear,MONTH(SepSun1+23)=9),SepSun1+23, "")</f>
        <v>42269</v>
      </c>
      <c r="E9" s="6">
        <f>IF(AND(YEAR(SepSun1+24)=CalendarYear,MONTH(SepSun1+24)=9),SepSun1+24, "")</f>
        <v>42270</v>
      </c>
      <c r="F9" s="6">
        <f>IF(AND(YEAR(SepSun1+25)=CalendarYear,MONTH(SepSun1+25)=9),SepSun1+25, "")</f>
        <v>42271</v>
      </c>
      <c r="G9" s="6">
        <f>IF(AND(YEAR(SepSun1+26)=CalendarYear,MONTH(SepSun1+26)=9),SepSun1+26, "")</f>
        <v>42272</v>
      </c>
      <c r="H9" s="13">
        <f>IF(AND(YEAR(SepSun1+27)=CalendarYear,MONTH(SepSun1+27)=9),SepSun1+27, "")</f>
        <v>42273</v>
      </c>
    </row>
    <row r="10" spans="1:8" ht="57.95" customHeight="1">
      <c r="B10" s="29"/>
      <c r="C10" s="25"/>
      <c r="D10" s="26"/>
      <c r="E10" s="26"/>
      <c r="F10" s="26"/>
      <c r="G10" s="26"/>
      <c r="H10" s="30"/>
    </row>
    <row r="11" spans="1:8" ht="14.1" customHeight="1">
      <c r="B11" s="12">
        <f>IF(AND(YEAR(SepSun1+28)=CalendarYear,MONTH(SepSun1+28)=9),SepSun1+28, "")</f>
        <v>42274</v>
      </c>
      <c r="C11" s="6">
        <f>IF(AND(YEAR(SepSun1+29)=CalendarYear,MONTH(SepSun1+29)=9),SepSun1+29, "")</f>
        <v>42275</v>
      </c>
      <c r="D11" s="6">
        <f>IF(AND(YEAR(SepSun1+30)=CalendarYear,MONTH(SepSun1+30)=9),SepSun1+30, "")</f>
        <v>42276</v>
      </c>
      <c r="E11" s="6">
        <f>IF(AND(YEAR(SepSun1+31)=CalendarYear,MONTH(SepSun1+31)=9),SepSun1+31, "")</f>
        <v>42277</v>
      </c>
      <c r="F11" s="6" t="str">
        <f>IF(AND(YEAR(SepSun1+32)=CalendarYear,MONTH(SepSun1+32)=9),SepSun1+32, "")</f>
        <v/>
      </c>
      <c r="G11" s="6" t="str">
        <f>IF(AND(YEAR(SepSun1+33)=CalendarYear,MONTH(SepSun1+33)=9),SepSun1+33, "")</f>
        <v/>
      </c>
      <c r="H11" s="13" t="str">
        <f>IF(AND(YEAR(SepSun1+34)=CalendarYear,MONTH(SepSun1+34)=9),SepSun1+34, "")</f>
        <v/>
      </c>
    </row>
    <row r="12" spans="1:8" ht="57.95" customHeight="1">
      <c r="B12" s="29"/>
      <c r="C12" s="25"/>
      <c r="D12" s="26"/>
      <c r="E12" s="26"/>
      <c r="F12" s="25"/>
      <c r="G12" s="25"/>
      <c r="H12" s="30"/>
    </row>
    <row r="13" spans="1:8" ht="14.1" customHeight="1">
      <c r="B13" s="28" t="str">
        <f>IF(AND(YEAR(SepSun1+35)=CalendarYear,MONTH(SepSun1+35)=9),SepSun1+35, "")</f>
        <v/>
      </c>
      <c r="C13" s="46" t="s">
        <v>8</v>
      </c>
      <c r="D13" s="46"/>
      <c r="E13" s="46"/>
      <c r="F13" s="46"/>
      <c r="G13" s="46"/>
      <c r="H13" s="47"/>
    </row>
    <row r="14" spans="1:8" ht="57.95" customHeight="1" thickBot="1">
      <c r="B14" s="31"/>
      <c r="C14" s="43"/>
      <c r="D14" s="44"/>
      <c r="E14" s="44"/>
      <c r="F14" s="44"/>
      <c r="G14" s="44"/>
      <c r="H14" s="45"/>
    </row>
  </sheetData>
  <mergeCells count="3">
    <mergeCell ref="B1:H1"/>
    <mergeCell ref="C13:H13"/>
    <mergeCell ref="C14:H14"/>
  </mergeCells>
  <phoneticPr fontId="1" type="noConversion"/>
  <printOptions horizontalCentered="1"/>
  <pageMargins left="0.5" right="0.5" top="0.75" bottom="0.75"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Jan</vt:lpstr>
      <vt:lpstr>Feb</vt:lpstr>
      <vt:lpstr>Mar</vt:lpstr>
      <vt:lpstr>Apr</vt:lpstr>
      <vt:lpstr>May</vt:lpstr>
      <vt:lpstr>Jun</vt:lpstr>
      <vt:lpstr>Jul</vt:lpstr>
      <vt:lpstr>Aug</vt:lpstr>
      <vt:lpstr>Sep</vt:lpstr>
      <vt:lpstr>Oct</vt:lpstr>
      <vt:lpstr>Nov</vt:lpstr>
      <vt:lpstr>Dec</vt:lpstr>
      <vt:lpstr>Lookup List</vt:lpstr>
      <vt:lpstr>CalendarYear</vt:lpstr>
      <vt:lpstr>Jan!Print_Area</vt:lpstr>
      <vt:lpstr>Year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jmoss</dc:creator>
  <cp:lastModifiedBy>APS</cp:lastModifiedBy>
  <cp:lastPrinted>2014-04-22T20:57:12Z</cp:lastPrinted>
  <dcterms:created xsi:type="dcterms:W3CDTF">2001-05-02T15:52:45Z</dcterms:created>
  <dcterms:modified xsi:type="dcterms:W3CDTF">2015-04-10T14:56:30Z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TC102851621033</vt:lpwstr>
  </property>
</Properties>
</file>